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" windowHeight="6330" tabRatio="900" activeTab="1"/>
  </bookViews>
  <sheets>
    <sheet name="1 часть 2017" sheetId="1" r:id="rId1"/>
    <sheet name="3 ч. таб.2" sheetId="2" r:id="rId2"/>
    <sheet name="4ч. таб 2.1." sheetId="3" r:id="rId3"/>
    <sheet name="6-7ч. таб.3,4" sheetId="4" r:id="rId4"/>
    <sheet name="Обосн.1(1.1.)РБ" sheetId="5" r:id="rId5"/>
    <sheet name="Обосн.1(1.1.)МБ" sheetId="6" r:id="rId6"/>
    <sheet name="Обосн.1(1.1.)Плат.усл" sheetId="7" r:id="rId7"/>
    <sheet name="Обосн.1 (1.2.)" sheetId="8" r:id="rId8"/>
    <sheet name="Обосн 1 (1.3.)" sheetId="9" r:id="rId9"/>
    <sheet name="Обосн.1(1.4.)РБ" sheetId="10" r:id="rId10"/>
    <sheet name="Обосн.1(1.4.)МБ" sheetId="11" r:id="rId11"/>
    <sheet name="Обосн.2 " sheetId="12" r:id="rId12"/>
  </sheets>
  <definedNames>
    <definedName name="sub_100821" localSheetId="1">'3 ч. таб.2'!$B$9</definedName>
    <definedName name="sub_100822" localSheetId="1">'3 ч. таб.2'!$B$10</definedName>
    <definedName name="sub_100823" localSheetId="1">'3 ч. таб.2'!$B$12</definedName>
    <definedName name="sub_100824" localSheetId="1">'3 ч. таб.2'!$B$17</definedName>
    <definedName name="sub_100825" localSheetId="1">'3 ч. таб.2'!$B$18</definedName>
    <definedName name="sub_100826" localSheetId="1">'3 ч. таб.2'!$B$31</definedName>
    <definedName name="sub_100827" localSheetId="1">'3 ч. таб.2'!$B$44</definedName>
    <definedName name="sub_100828" localSheetId="1">'3 ч. таб.2'!$B$46</definedName>
    <definedName name="sub_100829" localSheetId="1">'3 ч. таб.2'!$B$48</definedName>
    <definedName name="sub_100831" localSheetId="2">'4ч. таб 2.1.'!$B$15</definedName>
    <definedName name="sub_100832" localSheetId="2">'4ч. таб 2.1.'!#REF!</definedName>
    <definedName name="sub_100833" localSheetId="2">'4ч. таб 2.1.'!$B$19</definedName>
    <definedName name="sub_100834" localSheetId="2">'4ч. таб 2.1.'!$A$14</definedName>
    <definedName name="sub_100841" localSheetId="3">'6-7ч. таб.3,4'!$A$7</definedName>
    <definedName name="sub_100842" localSheetId="3">'6-7ч. таб.3,4'!$B$8</definedName>
    <definedName name="sub_100843" localSheetId="3">'6-7ч. таб.3,4'!$B$9</definedName>
    <definedName name="sub_100844" localSheetId="3">'6-7ч. таб.3,4'!$B$11</definedName>
    <definedName name="sub_108210" localSheetId="1">'3 ч. таб.2'!$B$49</definedName>
    <definedName name="sub_108211" localSheetId="1">'3 ч. таб.2'!$A$50</definedName>
    <definedName name="sub_108212" localSheetId="1">'3 ч. таб.2'!$A$69</definedName>
    <definedName name="sub_108213" localSheetId="1">'3 ч. таб.2'!$A$70</definedName>
    <definedName name="sub_108214" localSheetId="1">'3 ч. таб.2'!$A$76</definedName>
    <definedName name="sub_108215" localSheetId="1">'3 ч. таб.2'!$A$78</definedName>
    <definedName name="sub_108216" localSheetId="1">'3 ч. таб.2'!$A$79</definedName>
    <definedName name="sub_108217" localSheetId="1">'3 ч. таб.2'!$A$115</definedName>
    <definedName name="sub_108218" localSheetId="1">'3 ч. таб.2'!$A$116</definedName>
    <definedName name="sub_108219" localSheetId="1">'3 ч. таб.2'!$A$117</definedName>
    <definedName name="sub_108220" localSheetId="1">'3 ч. таб.2'!$A$118</definedName>
    <definedName name="sub_108221" localSheetId="1">'3 ч. таб.2'!$A$119</definedName>
    <definedName name="sub_108222" localSheetId="1">'3 ч. таб.2'!$A$120</definedName>
    <definedName name="sub_108223" localSheetId="1">'3 ч. таб.2'!$A$121</definedName>
    <definedName name="sub_108224" localSheetId="1">'3 ч. таб.2'!$A$122</definedName>
    <definedName name="_xlnm.Print_Area" localSheetId="1">'3 ч. таб.2'!$A$1:$J$122</definedName>
    <definedName name="_xlnm.Print_Area" localSheetId="3">'6-7ч. таб.3,4'!$A$1:$C$29</definedName>
    <definedName name="_xlnm.Print_Area" localSheetId="5">'Обосн.1(1.1.)МБ'!$A$1:$J$60</definedName>
    <definedName name="_xlnm.Print_Area" localSheetId="6">'Обосн.1(1.1.)Плат.усл'!$A$1:$J$21</definedName>
    <definedName name="_xlnm.Print_Area" localSheetId="4">'Обосн.1(1.1.)РБ'!$A$1:$J$60</definedName>
    <definedName name="_xlnm.Print_Area" localSheetId="11">'Обосн.2 '!$A$1:$F$327</definedName>
  </definedNames>
  <calcPr fullCalcOnLoad="1"/>
</workbook>
</file>

<file path=xl/sharedStrings.xml><?xml version="1.0" encoding="utf-8"?>
<sst xmlns="http://schemas.openxmlformats.org/spreadsheetml/2006/main" count="1620" uniqueCount="527">
  <si>
    <t>III. Показатели по поступлениям и выплатам учреждения</t>
  </si>
  <si>
    <t>Таблица 2</t>
  </si>
  <si>
    <t>Наименование показателя</t>
  </si>
  <si>
    <t>Код строки</t>
  </si>
  <si>
    <t>Объем финансового</t>
  </si>
  <si>
    <t>всего</t>
  </si>
  <si>
    <t>в том числе: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</si>
  <si>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</si>
  <si>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</si>
  <si>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</si>
  <si>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</si>
  <si>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</si>
  <si>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</si>
  <si>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</si>
  <si>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</si>
  <si>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</si>
  <si>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</si>
  <si>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</si>
  <si>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</si>
  <si>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</si>
  <si>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</si>
  <si>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</si>
  <si>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</si>
  <si>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</si>
  <si>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</si>
  <si>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</si>
  <si>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</si>
  <si>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</si>
  <si>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субсидии на финансовое обеспечение выполнения муниципального задания бюджета МО "Мирнинский район"</t>
  </si>
  <si>
    <t xml:space="preserve"> субсидии ,предоставляемые в соответствии с абзацем вторым пункта 1 статьи 78.1 Бюджетного кодекса Российской Федерации</t>
  </si>
  <si>
    <t>субсидии  на осуществление капитальных вложений</t>
  </si>
  <si>
    <t xml:space="preserve"> средства  обязательного медицинского страхования</t>
  </si>
  <si>
    <t>доходы от штрафов,пеней,иных сумм принудительного изъятия</t>
  </si>
  <si>
    <t>безвозмездные поступления от надциональных организаций,правительств иностранных государственных международных финансовых организаций</t>
  </si>
  <si>
    <t>Таблица 2.1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</si>
  <si>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</si>
  <si>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</si>
  <si>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на 20_г.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</si>
  <si>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</si>
  <si>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</si>
  <si>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</si>
  <si>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</si>
  <si>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</si>
  <si>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</si>
  <si>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</si>
  <si>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</si>
  <si>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</si>
  <si>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</si>
  <si>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</si>
  <si>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на закупку товаров работ, услуг по году начала закупки:</t>
  </si>
  <si>
    <t>на оплату контрактов заключенных до начало очередного финансового года</t>
  </si>
  <si>
    <t>Х</t>
  </si>
  <si>
    <t>0001</t>
  </si>
  <si>
    <t xml:space="preserve">     </t>
  </si>
  <si>
    <t>Сумма (руб., с точностью до двух знаков после запятой - 0,00)</t>
  </si>
  <si>
    <t>Поступление</t>
  </si>
  <si>
    <t>Выбытие</t>
  </si>
  <si>
    <t xml:space="preserve">VII. Справочная информация </t>
  </si>
  <si>
    <t>Таблица 4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</si>
  <si>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</si>
  <si>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</si>
  <si>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</si>
  <si>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Объем бюджетных инвестиций(в части переданных полномочий муниципального заказчика в соответствии с Бюджетным кодексом Российской Федерации),всего:</t>
  </si>
  <si>
    <t>Код видов расходов</t>
  </si>
  <si>
    <t>Источник финансового обеспечения</t>
  </si>
  <si>
    <t>1.1. Расчеты (обоснования) расходов на оплату груда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</si>
  <si>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</si>
  <si>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</si>
  <si>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</si>
  <si>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</si>
  <si>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</si>
  <si>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</si>
  <si>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 (гр.3 х гр.4 х (1 + гр.8/ 100) х гр.9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</si>
  <si>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</si>
  <si>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</si>
  <si>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</si>
  <si>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</si>
  <si>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</si>
  <si>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</si>
  <si>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</si>
  <si>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</si>
  <si>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</t>
  </si>
  <si>
    <t>Количество дней</t>
  </si>
  <si>
    <t>Сумма, 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</si>
  <si>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</si>
  <si>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</si>
  <si>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t>компенсация дополнительных расходов, связанных с проживанием вне места постоянного жительства (суточных)</t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</si>
  <si>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</si>
  <si>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</si>
  <si>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</si>
  <si>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</si>
  <si>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</si>
  <si>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</si>
  <si>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</si>
  <si>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</si>
  <si>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</si>
  <si>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</si>
  <si>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</si>
  <si>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</si>
  <si>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Пособие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</si>
  <si>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</si>
  <si>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</si>
  <si>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</si>
  <si>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</si>
  <si>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</si>
  <si>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</si>
  <si>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</si>
  <si>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</si>
  <si>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</si>
  <si>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</si>
  <si>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</si>
  <si>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</si>
  <si>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</si>
  <si>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Страховые взносы в Федеральный фонд обязательного медицинского страхования, всего (по ставке 5,1%)</t>
  </si>
  <si>
    <t>в соответствии с Федеральным законом от 5апреля 2013 г.№44-ФЗ"О контрактной Системе в сфере закупок товаров,работ,услуг для обеспечения муниципальных нужд"</t>
  </si>
  <si>
    <t xml:space="preserve"> в соответствии с Федеральным законом от 18 июля 2011г. N 223-ФЗ "О закупках товаров,</t>
  </si>
  <si>
    <t>Код по бюджетной класификации Российской Федерации</t>
  </si>
  <si>
    <t>Год начало закупки</t>
  </si>
  <si>
    <t>Таблица3</t>
  </si>
  <si>
    <t xml:space="preserve">   1. Расчеты (обоснования) выплат персоналу (строка 210)</t>
  </si>
  <si>
    <t xml:space="preserve">  1. Расчеты (обоснования) выплат персоналу (строка 210)</t>
  </si>
  <si>
    <t xml:space="preserve"> поступления от оказания услуг (выполнения работ) на платной основе и от иной приносящий доход деятельности</t>
  </si>
  <si>
    <t>доходы от оказания услуг, работ (МЗ)</t>
  </si>
  <si>
    <t>доходы от оказания услуг, работ (платные)</t>
  </si>
  <si>
    <t>иные субсидии, предоставленные из бюджета МО «Мирнинский район» (проезд в отпуск)</t>
  </si>
  <si>
    <t>Всего</t>
  </si>
  <si>
    <t>безвозмездные перечисления организациям</t>
  </si>
  <si>
    <t>Выплаты по расходам на закупку товаров, работ, услуг всего:</t>
  </si>
  <si>
    <t>Главный бухгалтер бюджетного (автономного) учреждения</t>
  </si>
  <si>
    <t>Руководитель бюджетного (автономного) учреждения</t>
  </si>
  <si>
    <t xml:space="preserve">    2. Расчет (обоснование) расходов на социальные и иные выплаты населению</t>
  </si>
  <si>
    <t>Размер одной выплаты, руб.</t>
  </si>
  <si>
    <t>Количество выплат в год</t>
  </si>
  <si>
    <t>Общая сумма выплат, руб. (гр.3 х гр.4)</t>
  </si>
  <si>
    <t xml:space="preserve">  3. Расчет (обоснование) расходов на уплату налогов, сборов и иных платежей</t>
  </si>
  <si>
    <t>3.1. Расчет (обоснование) расходов на оплату налога на имущество</t>
  </si>
  <si>
    <t>Налоговая база, руб.</t>
  </si>
  <si>
    <t>Ставка налога, %</t>
  </si>
  <si>
    <t>Сумма исчисленного налога, подлежащего уплате, руб. (гр.3 х гр.4/100)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</si>
  <si>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</si>
  <si>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</si>
  <si>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</si>
  <si>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</si>
  <si>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</si>
  <si>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</si>
  <si>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</si>
  <si>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Сумма, руб. (гр.3 х гр.4/100)</t>
  </si>
  <si>
    <t>Земельный налог, всего</t>
  </si>
  <si>
    <t>в том числе по участкам:</t>
  </si>
  <si>
    <t>3.3. Расчет (обоснование) расходов на оплату прочих налогов и сборов</t>
  </si>
  <si>
    <t>Всего, руб.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</si>
  <si>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</si>
  <si>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</si>
  <si>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</si>
  <si>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</si>
  <si>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</si>
  <si>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Выплата стипендий учащимся, студентам, аспирантам, ученым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</si>
  <si>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</si>
  <si>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</si>
  <si>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</si>
  <si>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</si>
  <si>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</si>
  <si>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</si>
  <si>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</si>
  <si>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</si>
  <si>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</si>
  <si>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</si>
  <si>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</si>
  <si>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</si>
  <si>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 Расчет (обоснование) расходов на закупку товаров, работ, услуг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</si>
  <si>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</si>
  <si>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</si>
  <si>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</si>
  <si>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(гр.3 х гр.4)</t>
  </si>
  <si>
    <t>Плата за перевозку (доставку) грузов (отправлений)</t>
  </si>
  <si>
    <t xml:space="preserve">  6. Расчет (обоснование) расходов на закупку товаров, работ, услуг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</si>
  <si>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</si>
  <si>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</si>
  <si>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</si>
  <si>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</si>
  <si>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Сумма, руб. (гр.4 х гр.5 х гр.6)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</si>
  <si>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</si>
  <si>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</si>
  <si>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</si>
  <si>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</si>
  <si>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</si>
  <si>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Количество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</si>
  <si>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</si>
  <si>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</si>
  <si>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</si>
  <si>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</si>
  <si>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</si>
  <si>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</si>
  <si>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</si>
  <si>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</si>
  <si>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</si>
  <si>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</si>
  <si>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мойка и чистка (химчистка) имущества (транспорта и т. д.)</t>
  </si>
  <si>
    <t>прачечные услуги</t>
  </si>
  <si>
    <t>Ремонт (текущий и капитальный) имущества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</si>
  <si>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</si>
  <si>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</si>
  <si>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 xml:space="preserve"> 6. Расчет (обоснование) расходов на закупку товаров, работ, услуг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</si>
  <si>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</si>
  <si>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</si>
  <si>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</si>
  <si>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</si>
  <si>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</si>
  <si>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</si>
  <si>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</si>
  <si>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</si>
  <si>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Средняя стоимость, руб.</t>
  </si>
  <si>
    <t>Сумма, руб. (гр.2 х гр.3)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</si>
  <si>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</si>
  <si>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</si>
  <si>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</si>
  <si>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</si>
  <si>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руб.</t>
  </si>
  <si>
    <t>Сумма, руб. (гр.4 х гр.5)</t>
  </si>
  <si>
    <t>Приобретение материалов</t>
  </si>
  <si>
    <t>в том числе по группам материалов:</t>
  </si>
  <si>
    <t xml:space="preserve"> 5. Расчет (обоснование) прочих расходов (кроме расходов на закупку товаров, работ, услуг)</t>
  </si>
  <si>
    <t>1. Расчеты (обоснования) выплат персоналу (строка 210)</t>
  </si>
  <si>
    <t>Итого МЗ:</t>
  </si>
  <si>
    <t>Итого (платные):</t>
  </si>
  <si>
    <t>по ставке 10 %</t>
  </si>
  <si>
    <t>по ставке 22,0 %</t>
  </si>
  <si>
    <t>Итого (премия):</t>
  </si>
  <si>
    <t>Медикаменты</t>
  </si>
  <si>
    <t>Проезд в отпуск</t>
  </si>
  <si>
    <t>80000000000000084-180-0084</t>
  </si>
  <si>
    <t>80000000000000019-130-0019</t>
  </si>
  <si>
    <t>80000000000000011-130-0011</t>
  </si>
  <si>
    <t>Командировки и служебные разъезды (суточные)</t>
  </si>
  <si>
    <t>Услуги связи</t>
  </si>
  <si>
    <t>Транспортные услуги</t>
  </si>
  <si>
    <t>Другие расходы по содержанию имущества</t>
  </si>
  <si>
    <t>Установка, наладка, монтаж ОПС, локально-вычисл.сетей, видеонаблюдения и др.монтажные работы</t>
  </si>
  <si>
    <t>Услуги по страхованию имущества</t>
  </si>
  <si>
    <t>Подиска на периодические и справные изделия</t>
  </si>
  <si>
    <t>Повышение квалификации</t>
  </si>
  <si>
    <t>Иные работы и услуги</t>
  </si>
  <si>
    <t>Налог на имущество</t>
  </si>
  <si>
    <t>Уплата налогов, гос.пошлин, сборов,разного рода платежей</t>
  </si>
  <si>
    <t>Уплата штрафов,пеней</t>
  </si>
  <si>
    <t>Увеличение стоимости основных средств</t>
  </si>
  <si>
    <t>Приобретение прочих материальных запасов</t>
  </si>
  <si>
    <t>Платные услуги</t>
  </si>
  <si>
    <t>800-0702-0000000000-244-226-0011</t>
  </si>
  <si>
    <t>800-0702-0000000000-244-340-0011</t>
  </si>
  <si>
    <t>Командировки и служ.разъезды (оплата трансп.расходов)</t>
  </si>
  <si>
    <t>шт</t>
  </si>
  <si>
    <t>Прочие материальные запасы</t>
  </si>
  <si>
    <r>
      <t>____________ / ____</t>
    </r>
    <r>
      <rPr>
        <u val="single"/>
        <sz val="12"/>
        <color indexed="8"/>
        <rFont val="Times New Roman"/>
        <family val="1"/>
      </rPr>
      <t>Кремнева С.А.____</t>
    </r>
    <r>
      <rPr>
        <sz val="12"/>
        <color indexed="8"/>
        <rFont val="Times New Roman"/>
        <family val="1"/>
      </rPr>
      <t xml:space="preserve">_    </t>
    </r>
  </si>
  <si>
    <r>
      <t>____________ / _</t>
    </r>
    <r>
      <rPr>
        <u val="single"/>
        <sz val="12"/>
        <color indexed="8"/>
        <rFont val="Times New Roman"/>
        <family val="1"/>
      </rPr>
      <t>Мусина Ф.Х.</t>
    </r>
    <r>
      <rPr>
        <sz val="12"/>
        <color indexed="8"/>
        <rFont val="Times New Roman"/>
        <family val="1"/>
      </rPr>
      <t xml:space="preserve">____    </t>
    </r>
  </si>
  <si>
    <r>
      <t>___________/___</t>
    </r>
    <r>
      <rPr>
        <b/>
        <u val="single"/>
        <sz val="12"/>
        <color indexed="8"/>
        <rFont val="Times New Roman"/>
        <family val="1"/>
      </rPr>
      <t>Кремнева С.А.</t>
    </r>
    <r>
      <rPr>
        <b/>
        <sz val="12"/>
        <color indexed="8"/>
        <rFont val="Times New Roman"/>
        <family val="1"/>
      </rPr>
      <t>______</t>
    </r>
  </si>
  <si>
    <r>
      <t>___________/_</t>
    </r>
    <r>
      <rPr>
        <b/>
        <u val="single"/>
        <sz val="12"/>
        <color indexed="8"/>
        <rFont val="Times New Roman"/>
        <family val="1"/>
      </rPr>
      <t>Мусина Ф.Х.</t>
    </r>
    <r>
      <rPr>
        <b/>
        <sz val="12"/>
        <color indexed="8"/>
        <rFont val="Times New Roman"/>
        <family val="1"/>
      </rPr>
      <t>____</t>
    </r>
  </si>
  <si>
    <t>Холодное водоснабжение всего</t>
  </si>
  <si>
    <t>Директор</t>
  </si>
  <si>
    <t>Зам.директора по УВР</t>
  </si>
  <si>
    <t>Зам.директора по ВР</t>
  </si>
  <si>
    <t>Зам.директора по УМР</t>
  </si>
  <si>
    <t>Педагог-организатор</t>
  </si>
  <si>
    <t>Социальный педагог</t>
  </si>
  <si>
    <t>Психолог</t>
  </si>
  <si>
    <t>педагог-библиотекарь</t>
  </si>
  <si>
    <t>Учитель по ОСОТ</t>
  </si>
  <si>
    <t>Учитель по НСОТ</t>
  </si>
  <si>
    <t>Зав.хозяйством</t>
  </si>
  <si>
    <t>Спец-т по кадрам</t>
  </si>
  <si>
    <t>Секретарь по учебн.части</t>
  </si>
  <si>
    <t>Группа кратковременного пребывания детей</t>
  </si>
  <si>
    <t xml:space="preserve">Репетиторство </t>
  </si>
  <si>
    <t xml:space="preserve"> </t>
  </si>
  <si>
    <t>Программное обеспечение</t>
  </si>
  <si>
    <t>МБ</t>
  </si>
  <si>
    <t>РБ</t>
  </si>
  <si>
    <t>3.4. Расчет (обоснование) расходов на оплату прочих налогов и сборов</t>
  </si>
  <si>
    <t>Прочие налоги, штрафы и пени</t>
  </si>
  <si>
    <t>Уплата налогов, гос.пошлин, сборов, разного рода платежей</t>
  </si>
  <si>
    <t>Уплата штрафов, пеней</t>
  </si>
  <si>
    <t>Гл.бухгалтер</t>
  </si>
  <si>
    <t>Бухгалтер</t>
  </si>
  <si>
    <t>Уборщик пр.и сл.помещений</t>
  </si>
  <si>
    <t>Сторож</t>
  </si>
  <si>
    <t>Дворник</t>
  </si>
  <si>
    <t>Итого МБ:</t>
  </si>
  <si>
    <t>Расчеты (обоснования) к плану финансово-хозяйственной деятельности муниципального учреждения _____________МБОУ "СОШ №3"_________________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</si>
  <si>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</si>
  <si>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</si>
  <si>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</si>
  <si>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оказываемых (выполняемых) на платной основе:</t>
  </si>
  <si>
    <t>Таблица 1</t>
  </si>
  <si>
    <t>N п/п</t>
  </si>
  <si>
    <t>Сумма, тыс. руб.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</si>
  <si>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</si>
  <si>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</si>
  <si>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</si>
  <si>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</si>
  <si>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</si>
  <si>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</si>
  <si>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</si>
  <si>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</si>
  <si>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</si>
  <si>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</si>
  <si>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</si>
  <si>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</si>
  <si>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</si>
  <si>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</si>
  <si>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</si>
  <si>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Думаю, что 212 относится к 210 строке, а не к 220.</t>
  </si>
  <si>
    <t xml:space="preserve">т.к. связано с выплатой персоналу. </t>
  </si>
  <si>
    <t>Втань на  201 000, увидишь ссылку.</t>
  </si>
  <si>
    <t xml:space="preserve">расходы на оплату коммунальных услуг </t>
  </si>
  <si>
    <t xml:space="preserve">расходы на оплату работ, услуг по содержанию имущества </t>
  </si>
  <si>
    <t xml:space="preserve"> расходы на оплату прочих работ, услуг </t>
  </si>
  <si>
    <t>Главный бухгалтер МБОУ "СОШ №3"</t>
  </si>
  <si>
    <t xml:space="preserve">Руководитель МБОУ "СОШ №3"                                      </t>
  </si>
  <si>
    <t>ПЛАН ФИНАНСОВО-ХОЗЯЙСТВЕННОЙ ДЕЯТЕЛЬНОСТИ</t>
  </si>
  <si>
    <t xml:space="preserve">БЮДЖЕТНОГО (АВТОНОМНОГО) УЧРЕЖДЕНИЯ </t>
  </si>
  <si>
    <t>Муниципальное бюджетное общеобразовательное учреждение «Средняя общеобразовательная школа № 3» муниципального образования «Мирнинский район» Республики Саха(Якутия)</t>
  </si>
  <si>
    <t>(полное наименование учреждения)</t>
  </si>
  <si>
    <t xml:space="preserve">  - Основной целью деятельности Школы является осуществление образовательной деятельности по образовательным программам начального основного среднего общего образования. Школа в соответствии с законодательством об образовании реализует также дополнительные общеобразовательные программы.
 -  формирование общей культуры личности обучающихся на основе обязательного минимума содержания общеобразовательных программ, их адаптации к жизни в обществе;
 -  формирование интеллектуально-творческой, нравственной личности обучающихся по целостным образовательным программам, обеспечивающим формирование и развитие универсальных навыков умственного труда и повышенную мотивацию к учению;
 - воспитание гражданственности, трудолюбия, уважения к правам и свободы человека, любви к окружающей природе, Родине, семье, формирование здорового образа жизни.</t>
  </si>
  <si>
    <t xml:space="preserve">Обеспечение получения обучающимися общедоступного и бесплатного общего образования по программам   начального общего образования, основного общего образования, среднего (полного) общего образования с дополнительным  профильным обучением по направленности: информационно-математическая. </t>
  </si>
  <si>
    <t xml:space="preserve">В учреждении могут осуществляться дополнительные образовательные услуги:
- реализация образовательных программ разной направленности за пределами основных образовательных программ, определяющих статус образовательного учреждения;
- услуги логопедической, психологической и дефектологической помощи (коррекция речевого, психического или физического развития) для детей, обучающихся в образовательных учреждениях, при условии, что данные услуги оказываются за пределами рабочего времени и вне рамок должностных инструкций специалистов штатного расписания, финансируемого из бюджета (психологов, логопедов, дефектологов);
- различные курсы по подготовке к поступлению в учебные заведения;
- различные кружки, группы, факультативы по обучению и приобщению детей к знанию мировой культуры, информационных технологий, художественно-эстетического, научного и прикладного творчества;
- подготовка детей к школе.
</t>
  </si>
  <si>
    <t>II. Показатели финансового состояния учреждения</t>
  </si>
  <si>
    <t>Расчеты (обоснования) к плану финансово-хозяйственной деятельности муниципального учреждения __________________________________________________</t>
  </si>
  <si>
    <t>Гардеробщик</t>
  </si>
  <si>
    <t>Школьное питание (льготное)</t>
  </si>
  <si>
    <t>80000000000000045-130-0045</t>
  </si>
  <si>
    <r>
      <t>Расчеты (обоснования) к плану финансово-хозяйственной деятельности муниципального учреждения _____</t>
    </r>
    <r>
      <rPr>
        <b/>
        <u val="single"/>
        <sz val="12"/>
        <color indexed="8"/>
        <rFont val="Times New Roman"/>
        <family val="1"/>
      </rPr>
      <t>МБОУ "СОШ №3"</t>
    </r>
    <r>
      <rPr>
        <b/>
        <sz val="12"/>
        <color indexed="8"/>
        <rFont val="Times New Roman"/>
        <family val="1"/>
      </rPr>
      <t>____________________</t>
    </r>
  </si>
  <si>
    <t>Курсы педагогов</t>
  </si>
  <si>
    <t>Выезд из РКС</t>
  </si>
  <si>
    <t>800-0702-9950091012-112-212-0038</t>
  </si>
  <si>
    <t>Шефская помощь с КВ ГЭС</t>
  </si>
  <si>
    <t xml:space="preserve">Шефская помощь </t>
  </si>
  <si>
    <t>800-0702-0000000000-113-290-0018</t>
  </si>
  <si>
    <t>80000000000000038-180-0038</t>
  </si>
  <si>
    <t>иные субсидии, предоставленные из бюджета МО «Мирнинский район» (обучение педагогов)</t>
  </si>
  <si>
    <t>80000000000000104-180-0104</t>
  </si>
  <si>
    <t>иные субсидии, предоставленные из бюджета МО «Мирнинский район» (компексный план)</t>
  </si>
  <si>
    <t>80000000000000055-180-0055</t>
  </si>
  <si>
    <t>80000000000000116-180-0116</t>
  </si>
  <si>
    <t>иные субсидии, предоставленные из бюджета МО «Мирнинский район» (Кред.задолж.за 2016г.)</t>
  </si>
  <si>
    <t>расходы на оплату работ, услуг по содержанию имущества (компл.план)</t>
  </si>
  <si>
    <t>Антитеррористические мероприятия</t>
  </si>
  <si>
    <t>х</t>
  </si>
  <si>
    <t>Увеличение стоимости основных средств (комплек.план)</t>
  </si>
  <si>
    <t>Премия директора</t>
  </si>
  <si>
    <t>80000000000000058-180-0058</t>
  </si>
  <si>
    <t>Премия МБ</t>
  </si>
  <si>
    <t xml:space="preserve">Премия </t>
  </si>
  <si>
    <t>80000000000000067-180-0067</t>
  </si>
  <si>
    <t>оплата труда и начисления на выплаты по оплате труда (премия МБ)</t>
  </si>
  <si>
    <t>оплата труда и начисления на выплаты по оплате труда (премия РБ)</t>
  </si>
  <si>
    <t>Премия</t>
  </si>
  <si>
    <t>РБ Премия</t>
  </si>
  <si>
    <t>РБ Премия директора</t>
  </si>
  <si>
    <t xml:space="preserve"> расходы на оплату прочих работ, услуг (льготное питание)</t>
  </si>
  <si>
    <t>ЛТО</t>
  </si>
  <si>
    <t>80000000000000051-130-0051</t>
  </si>
  <si>
    <t>80000000000000018-180-0018</t>
  </si>
  <si>
    <t>Дотация АК Алроса</t>
  </si>
  <si>
    <t>80000000000000035-180-0035</t>
  </si>
  <si>
    <t>Картриджи и жесткие диски к ОГЭ</t>
  </si>
  <si>
    <t>80000000000000068-180-0068</t>
  </si>
  <si>
    <t>Инвестпрограмма (ремонты)</t>
  </si>
  <si>
    <t>80000000000000115-180-0115</t>
  </si>
  <si>
    <t>800-0707-6260062011-111-211-0051</t>
  </si>
  <si>
    <t>РБ ЛТО</t>
  </si>
  <si>
    <t>800-0707-62600S2011-111-211-0051</t>
  </si>
  <si>
    <t>МБ ЛТО</t>
  </si>
  <si>
    <t xml:space="preserve"> расходы на оплату прочих работ, услуг ЛТО</t>
  </si>
  <si>
    <t>800-0702-6230022001-111-211-0035</t>
  </si>
  <si>
    <t>Дотация</t>
  </si>
  <si>
    <t>Увеличение стоимости основных средств (ОГЭ)</t>
  </si>
  <si>
    <t>Приобретение прочих материальных запасов (ОГЭ)</t>
  </si>
  <si>
    <t>расходы на оплату работ, услуг по содержанию имущества (инвестпрограмма)</t>
  </si>
  <si>
    <t>80000000000000098-180-0098</t>
  </si>
  <si>
    <t>иные субсидии, предоставленные из бюджета МО «Мирнинский район» (форма воен.патриот)</t>
  </si>
  <si>
    <t>иные субсидии, предоставленные из бюджета МО «Мирнинский район» (озелен.террит.)</t>
  </si>
  <si>
    <t>иные субсидии, предоставленные из бюджета МО «Мирнинский район» (коммунал.льгота)</t>
  </si>
  <si>
    <t>Коммунальная льгота</t>
  </si>
  <si>
    <t>800-0702-6230063380-112-212-0040</t>
  </si>
  <si>
    <t>Прочие материальные запасы (озелен.территории)</t>
  </si>
  <si>
    <t>80000000000000078-180-1139</t>
  </si>
  <si>
    <t>Рабочий по компл.обсл.здания</t>
  </si>
  <si>
    <t xml:space="preserve"> расходы на оплату прочих работ, услуг (льготное питание дети с ОВЗ)</t>
  </si>
  <si>
    <t>Школьное питание (дети с ОВЗ)</t>
  </si>
  <si>
    <t>Доплата до МРОТ</t>
  </si>
  <si>
    <t>800-0702-9960062450-111-211-0019</t>
  </si>
  <si>
    <t>МРОТ</t>
  </si>
  <si>
    <t>800-0702-9960062450-119-213-0019</t>
  </si>
  <si>
    <t>800-1003-9950091012-112-212-0038</t>
  </si>
  <si>
    <t>Дефектолог</t>
  </si>
  <si>
    <t>800-0702-1220222001-244-221-0019</t>
  </si>
  <si>
    <t>800-0702-1220222001-119-213-0019</t>
  </si>
  <si>
    <t>800-0702-1220222001-244-223-0019</t>
  </si>
  <si>
    <t xml:space="preserve"> 800-0702-1220263020-244-226-0019                                     </t>
  </si>
  <si>
    <t>800-0702-1220222001-244-340-0019</t>
  </si>
  <si>
    <t>800-0702-1220263020-244-340-0019</t>
  </si>
  <si>
    <t>800-0702-1220263020-111-211(119-213)-0019</t>
  </si>
  <si>
    <t>800-0702-1220222001-112-212-0084</t>
  </si>
  <si>
    <t>800-0702-1220222001-112-212-0019</t>
  </si>
  <si>
    <t>800-0702-1220222001-851-290-0019</t>
  </si>
  <si>
    <t>800-0702-1220222001-244-222-0019</t>
  </si>
  <si>
    <t>800-0702-1220222001-244-225-0019</t>
  </si>
  <si>
    <t>800-0702-1220222001-244-226-0019</t>
  </si>
  <si>
    <t>800-0702-1220210003-244-226-0045</t>
  </si>
  <si>
    <t>800-0702-1220210003-321-262-0045</t>
  </si>
  <si>
    <t>800-0702-1220263020-244-226-0019</t>
  </si>
  <si>
    <t>800-0702-1220263020-244-310-0019</t>
  </si>
  <si>
    <t>800-0702-1220263020-111-211-0019</t>
  </si>
  <si>
    <t xml:space="preserve">800-0702-1220222001-112-212-0019                                                               800-0702-1220222001-112-226-0019                                                                       </t>
  </si>
  <si>
    <t>800-0702-1220263020-119-213-0019</t>
  </si>
  <si>
    <t xml:space="preserve">800-0702-1220222001-112-212-0084                                                                                             </t>
  </si>
  <si>
    <t>на 2018 год</t>
  </si>
  <si>
    <t xml:space="preserve">IV. Показатели выплат по расходам на закупку товаров, работ, услуг на  2018_ г. </t>
  </si>
  <si>
    <t xml:space="preserve">VI. Сведения о средствах, поступающих во временное распоряжение учреждения на 2018 г. </t>
  </si>
  <si>
    <t>иные субсидии, предоставленные из бюджета МО «Мирнинский район» (премия)</t>
  </si>
  <si>
    <t>иные субсидии, предоставленные из бюджета МО «Мирнинский район» (молочн.продук.)</t>
  </si>
  <si>
    <t>80000000000000044-180-0044</t>
  </si>
  <si>
    <t>80000000000000040-180-0040</t>
  </si>
  <si>
    <t>иные субсидии, предоставленные из бюджета МО «Мирнинский район» Випнет (ЕГЭ)</t>
  </si>
  <si>
    <t>80000000000000124-180-0124</t>
  </si>
  <si>
    <t>иные субсидии, предоставленные из бюджета МО «Мирнинский район» (медработник)</t>
  </si>
  <si>
    <t>80000000000000125-180-0125</t>
  </si>
  <si>
    <t>Услуги медика</t>
  </si>
  <si>
    <t xml:space="preserve"> 800-0113-1320010030-244-226-0125                                    800-0702-1210011600-244-226-0124 </t>
  </si>
  <si>
    <t>Програмн.обсл.Випнет (ЕГЭ)</t>
  </si>
  <si>
    <t>Услуги медработника</t>
  </si>
  <si>
    <t>800-0113-1320010030-244-226-0125</t>
  </si>
  <si>
    <t>Програм.обслуж. Випнет (ЕГЭ)</t>
  </si>
  <si>
    <t>800-0702-1210011600-244-226-0124</t>
  </si>
  <si>
    <t>800-0702-1220222001-119-213-0067</t>
  </si>
  <si>
    <t>800-0702-1220222001-111-211(119-213)-0067</t>
  </si>
  <si>
    <t>800-0702-1220263020-111-211(119-213)-0067</t>
  </si>
  <si>
    <t>800-0702-1220263020-119-213-0067</t>
  </si>
  <si>
    <t>800-0702-1270063380-112-212-0040</t>
  </si>
  <si>
    <t>800-1003-1530010010-244-340-0044</t>
  </si>
  <si>
    <t>Приобретение прочих материальных запасов (молочная продукция)</t>
  </si>
  <si>
    <t>Приобретение прочих материальных запасов (молоч.продук)</t>
  </si>
  <si>
    <t>800-0702-1220263020-111-211-0067</t>
  </si>
  <si>
    <t>800-0702-1220263020-111-211-0058</t>
  </si>
  <si>
    <t>800-0702-1220263020-119-213-0058</t>
  </si>
  <si>
    <t>иные субсидии, предоставленные из бюджета МО «Мирнинский район» (комплекс.план)</t>
  </si>
  <si>
    <t>расходы на оплату работ, услуг по содержанию имущества (комплекс.план)</t>
  </si>
  <si>
    <t>800-0702-12Б0010010-244-225-0055</t>
  </si>
  <si>
    <t>Комплексный план</t>
  </si>
  <si>
    <t>800-0702-12Б0010010-244-226-0055</t>
  </si>
  <si>
    <t>800-0702-12Б0010010-244-310-0055</t>
  </si>
  <si>
    <t>Увеличение стоимости основных средств (комплекс.план)</t>
  </si>
  <si>
    <t>800-0702-12Б0010010-244-225</t>
  </si>
  <si>
    <t>Приобретение прочих материальных запасов (комплекс.план)</t>
  </si>
  <si>
    <t>800-0702-12Б0010010-244-340-0055</t>
  </si>
  <si>
    <t xml:space="preserve">800-0702-1220222001-244-340-0019  800-0702-12Б0010010-244-340-0055       </t>
  </si>
  <si>
    <t>Прочие материальные запасы (комплекс.план)</t>
  </si>
  <si>
    <t>800-0702-1220222001-851-291-0019</t>
  </si>
  <si>
    <t>Штраф</t>
  </si>
  <si>
    <t>800-0702-1220222001-852-291-0019</t>
  </si>
  <si>
    <t>800-0702-1220222001-853-292-0019</t>
  </si>
  <si>
    <t>800-0702-1220222001-853-295-0019</t>
  </si>
  <si>
    <t>800-0702-1220222001-852-291-0019                              800-0702-12200222001-852-292-0019                                 800-0702-12200222001-853-295-0019</t>
  </si>
  <si>
    <t>800-0702-1220222001-244-310-0019</t>
  </si>
  <si>
    <t xml:space="preserve">800-0702-1220222001-244-310-0019                                               </t>
  </si>
  <si>
    <t>оплата труда и начисления на выплаты по оплате труда ЛТО</t>
  </si>
  <si>
    <t>800-0707-1260062010-111-211(119-213)-0051</t>
  </si>
  <si>
    <t>800-0707-1260062010-119-213-0051</t>
  </si>
  <si>
    <t>800-0707-12600S2010-111-211(119-213)-0051</t>
  </si>
  <si>
    <t>800-0707-12600S2010-119-213-0051</t>
  </si>
  <si>
    <t>Приобретение прочих материальных запасов ЛТО</t>
  </si>
  <si>
    <t>800-0707-12600S2010-244-340-0051</t>
  </si>
  <si>
    <t>Приобретение прочих материальных запасов (ЛТО)</t>
  </si>
  <si>
    <t>иные субсидии, предоставленные из бюджета МО «Мирнинский район» (премия директора)</t>
  </si>
  <si>
    <t>иные субсидии, предоставленные из бюджета МО «Мирнинский район» (гранд)</t>
  </si>
  <si>
    <t>80000000000000078-180-0078</t>
  </si>
  <si>
    <t>иные субсидии, предоставленные из бюджета МО «Мирнинский район» (курсы)</t>
  </si>
  <si>
    <t>иные субсидии, предоставленные из бюджета МО «Мирнинский район» (ремонты)</t>
  </si>
  <si>
    <t>иные субсидии, предоставленные из бюджета МО «Мирнинский район» (обуч.комп.грамот)</t>
  </si>
  <si>
    <t>80000000000000126-180-0126</t>
  </si>
  <si>
    <t>иные субсидии, предоставленные из бюджета МО «Мирнинский район» (возмещ.путевок)</t>
  </si>
  <si>
    <t>80000000000000128-180-0128</t>
  </si>
  <si>
    <t>оплата труда и начисления на выплаты по оплате труда (дотация АК АЛРОСА)</t>
  </si>
  <si>
    <t>800-0702-1220222001-111-211(119-213)-0035</t>
  </si>
  <si>
    <t>800-0702-1220222001-119-213-0035</t>
  </si>
  <si>
    <t>оплата труда и начисления на выплаты по оплате труда (возмещ.путевок)</t>
  </si>
  <si>
    <t>800-0702-1220222001-111-211(119-213)-0128</t>
  </si>
  <si>
    <t>800-0702-1220222001-111-211-0128</t>
  </si>
  <si>
    <t>Возмещение путевки</t>
  </si>
  <si>
    <t>Путевка 30%</t>
  </si>
  <si>
    <t>800-0702-1220222001-119-213-0128</t>
  </si>
  <si>
    <t>Приобретение прочих материальных запасов (гранд)</t>
  </si>
  <si>
    <t>800-0702-1210011600-244-340-0078</t>
  </si>
  <si>
    <t>800-1003-1530010010-244-340-0044                                                              800-0707-12600S2010-244-340-0051                                                          800-0702-1210011600-244-340-0078</t>
  </si>
  <si>
    <t>оплата труда и начисления на выплаты по оплате труда (премия директора)</t>
  </si>
  <si>
    <t>800-0702-1220263020-111-211(119-213)-0058</t>
  </si>
  <si>
    <t>800-0702-12Б0010020-244-225-0115</t>
  </si>
  <si>
    <t xml:space="preserve">800-0702-1220222001-244-225-0019                                       800-0702-12Б0010010-244-225-0055                         800-0702-12Б0010010-244-225-0115                                                                              </t>
  </si>
  <si>
    <t xml:space="preserve">800-0702-1220222001-244-226-0019                         800-0702-1220263020-244-226-0019                   800-0702-12Б0010010-244-225-0055                               800-0702-12Б0010010-244-225-0115                                                      </t>
  </si>
  <si>
    <t>Инвестпрограмма</t>
  </si>
  <si>
    <t>800-0702-12Б0010020-244-226-0115</t>
  </si>
  <si>
    <t>Курсы</t>
  </si>
  <si>
    <t>800-0702-1210011600-244-226-0104</t>
  </si>
  <si>
    <t>Курсы обучения</t>
  </si>
  <si>
    <t>Обучение комп.грамотн.</t>
  </si>
  <si>
    <t>800-1003-1530071020-244-226-0126</t>
  </si>
  <si>
    <t>Обуч.комп.грамот.</t>
  </si>
  <si>
    <t>Экономист по дог.системе</t>
  </si>
  <si>
    <t>80007021220222001111211    800070299500653101112110019</t>
  </si>
  <si>
    <t>Увеличение стоимости основных средств (платные услуги)</t>
  </si>
  <si>
    <t>800-0702-1220222001-111-211(119-213)-0019</t>
  </si>
  <si>
    <t>800-0702-9950065310-111-211(119-213)-0019</t>
  </si>
  <si>
    <t>800-0702-9950065310-119-213-0019</t>
  </si>
  <si>
    <t>иные субсидии, предоставленные из бюджета МО «Мирнинский район» (транспортные)</t>
  </si>
  <si>
    <t>800-0709-1210011600-111-211(119-213)-0035</t>
  </si>
  <si>
    <t>800-0709-1210011600-119-213-0035</t>
  </si>
  <si>
    <t>800-0702-1220222001-244-222-0106</t>
  </si>
  <si>
    <t>800-0702-12200222001-244-222-0019                                  800-0702-12200222001-244-222-0106</t>
  </si>
  <si>
    <t>прочие доходы (платные услуги)</t>
  </si>
  <si>
    <t>прочие доходы (шефская помощь  с КВ ГЭС)</t>
  </si>
  <si>
    <t>8000000000000011-130-0011</t>
  </si>
  <si>
    <t>800-0702-0000000000-244-340-0011                                                             800-0702-0000000000-244-340-0018</t>
  </si>
  <si>
    <t>Увеличение стоимости основных средств (шефская помощь)</t>
  </si>
  <si>
    <t xml:space="preserve">800-0702-1220263020-244-310-0019                           800-0702-00000000000-244-310-0011                           800-0702-00000000000-244-310-0018                                    </t>
  </si>
  <si>
    <t>800-0702-0000000000-244-340-0018</t>
  </si>
  <si>
    <t>800-0702-0000000000-244-310-0011</t>
  </si>
  <si>
    <t>800-0702-0000000000-244-310-0018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</si>
</sst>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"/>
    <numFmt numFmtId="179" formatCode="#,##0.00000"/>
    <numFmt numFmtId="180" formatCode="#,##0.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color indexed="21"/>
      <name val="Arial"/>
      <family val="2"/>
    </font>
    <font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13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rgb="FFFFFF00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6"/>
      <color theme="3" tint="0.39998000860214233"/>
      <name val="Times New Roman"/>
      <family val="1"/>
    </font>
    <font>
      <b/>
      <sz val="14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dotted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top" wrapText="1"/>
    </xf>
    <xf numFmtId="0" fontId="65" fillId="0" borderId="0" xfId="0" applyFont="1" applyAlignment="1">
      <alignment/>
    </xf>
    <xf numFmtId="0" fontId="67" fillId="0" borderId="10" xfId="42" applyFont="1" applyBorder="1" applyAlignment="1">
      <alignment vertical="center" wrapText="1"/>
    </xf>
    <xf numFmtId="0" fontId="65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49" fontId="65" fillId="0" borderId="0" xfId="0" applyNumberFormat="1" applyFont="1" applyAlignment="1">
      <alignment/>
    </xf>
    <xf numFmtId="49" fontId="65" fillId="0" borderId="10" xfId="0" applyNumberFormat="1" applyFont="1" applyBorder="1" applyAlignment="1">
      <alignment vertical="top" wrapText="1"/>
    </xf>
    <xf numFmtId="49" fontId="63" fillId="0" borderId="10" xfId="0" applyNumberFormat="1" applyFont="1" applyBorder="1" applyAlignment="1">
      <alignment horizontal="justify" vertical="center" wrapText="1"/>
    </xf>
    <xf numFmtId="4" fontId="63" fillId="5" borderId="10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horizontal="justify" vertical="center" wrapText="1"/>
    </xf>
    <xf numFmtId="0" fontId="65" fillId="0" borderId="0" xfId="0" applyFont="1" applyAlignment="1">
      <alignment wrapText="1"/>
    </xf>
    <xf numFmtId="4" fontId="66" fillId="0" borderId="10" xfId="0" applyNumberFormat="1" applyFont="1" applyBorder="1" applyAlignment="1">
      <alignment vertical="center" wrapText="1"/>
    </xf>
    <xf numFmtId="0" fontId="65" fillId="0" borderId="0" xfId="0" applyFont="1" applyBorder="1" applyAlignment="1">
      <alignment/>
    </xf>
    <xf numFmtId="0" fontId="68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" fontId="68" fillId="0" borderId="10" xfId="0" applyNumberFormat="1" applyFont="1" applyBorder="1" applyAlignment="1">
      <alignment vertical="center" wrapText="1"/>
    </xf>
    <xf numFmtId="0" fontId="66" fillId="4" borderId="10" xfId="0" applyFont="1" applyFill="1" applyBorder="1" applyAlignment="1">
      <alignment vertical="center" wrapText="1"/>
    </xf>
    <xf numFmtId="4" fontId="66" fillId="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6" fillId="0" borderId="0" xfId="0" applyFont="1" applyAlignment="1">
      <alignment/>
    </xf>
    <xf numFmtId="49" fontId="63" fillId="0" borderId="10" xfId="0" applyNumberFormat="1" applyFont="1" applyFill="1" applyBorder="1" applyAlignment="1">
      <alignment horizontal="justify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justify" vertical="center" wrapText="1"/>
    </xf>
    <xf numFmtId="0" fontId="64" fillId="4" borderId="10" xfId="0" applyFont="1" applyFill="1" applyBorder="1" applyAlignment="1">
      <alignment vertical="center" wrapText="1"/>
    </xf>
    <xf numFmtId="0" fontId="64" fillId="4" borderId="10" xfId="0" applyFont="1" applyFill="1" applyBorder="1" applyAlignment="1">
      <alignment horizontal="center" vertical="center" wrapText="1"/>
    </xf>
    <xf numFmtId="49" fontId="64" fillId="4" borderId="10" xfId="0" applyNumberFormat="1" applyFont="1" applyFill="1" applyBorder="1" applyAlignment="1">
      <alignment horizontal="center" vertical="center" wrapText="1"/>
    </xf>
    <xf numFmtId="4" fontId="64" fillId="4" borderId="10" xfId="0" applyNumberFormat="1" applyFont="1" applyFill="1" applyBorder="1" applyAlignment="1">
      <alignment horizontal="justify" vertical="center" wrapText="1"/>
    </xf>
    <xf numFmtId="0" fontId="63" fillId="0" borderId="10" xfId="0" applyFont="1" applyBorder="1" applyAlignment="1">
      <alignment vertical="top" wrapText="1"/>
    </xf>
    <xf numFmtId="0" fontId="6" fillId="33" borderId="13" xfId="53" applyNumberFormat="1" applyFont="1" applyFill="1" applyBorder="1" applyAlignment="1">
      <alignment vertical="top" wrapText="1"/>
      <protection/>
    </xf>
    <xf numFmtId="0" fontId="6" fillId="33" borderId="14" xfId="53" applyNumberFormat="1" applyFont="1" applyFill="1" applyBorder="1" applyAlignment="1">
      <alignment vertical="top" wrapText="1"/>
      <protection/>
    </xf>
    <xf numFmtId="0" fontId="2" fillId="33" borderId="13" xfId="53" applyNumberFormat="1" applyFont="1" applyFill="1" applyBorder="1" applyAlignment="1">
      <alignment vertical="top" wrapText="1"/>
      <protection/>
    </xf>
    <xf numFmtId="1" fontId="66" fillId="0" borderId="10" xfId="0" applyNumberFormat="1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9" fontId="66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/>
    </xf>
    <xf numFmtId="0" fontId="66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4" fontId="66" fillId="0" borderId="10" xfId="0" applyNumberFormat="1" applyFont="1" applyFill="1" applyBorder="1" applyAlignment="1">
      <alignment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justify" vertical="center" wrapText="1"/>
    </xf>
    <xf numFmtId="4" fontId="66" fillId="0" borderId="0" xfId="0" applyNumberFormat="1" applyFont="1" applyAlignment="1">
      <alignment/>
    </xf>
    <xf numFmtId="4" fontId="66" fillId="0" borderId="0" xfId="0" applyNumberFormat="1" applyFont="1" applyFill="1" applyAlignment="1">
      <alignment/>
    </xf>
    <xf numFmtId="0" fontId="70" fillId="0" borderId="0" xfId="0" applyFont="1" applyAlignment="1">
      <alignment/>
    </xf>
    <xf numFmtId="4" fontId="65" fillId="0" borderId="0" xfId="0" applyNumberFormat="1" applyFont="1" applyAlignment="1">
      <alignment/>
    </xf>
    <xf numFmtId="0" fontId="63" fillId="0" borderId="0" xfId="0" applyFont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top" wrapText="1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4" fontId="66" fillId="0" borderId="0" xfId="0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justify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4" fontId="63" fillId="0" borderId="11" xfId="0" applyNumberFormat="1" applyFont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5" xfId="0" applyFont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71" fillId="0" borderId="0" xfId="0" applyFont="1" applyAlignment="1">
      <alignment/>
    </xf>
    <xf numFmtId="0" fontId="63" fillId="2" borderId="10" xfId="0" applyFont="1" applyFill="1" applyBorder="1" applyAlignment="1">
      <alignment vertical="center" wrapText="1"/>
    </xf>
    <xf numFmtId="4" fontId="72" fillId="0" borderId="10" xfId="0" applyNumberFormat="1" applyFont="1" applyBorder="1" applyAlignment="1">
      <alignment horizontal="justify" vertical="center" wrapText="1"/>
    </xf>
    <xf numFmtId="0" fontId="73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16" xfId="0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4" fontId="63" fillId="0" borderId="10" xfId="0" applyNumberFormat="1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justify" vertical="center" wrapText="1"/>
    </xf>
    <xf numFmtId="177" fontId="63" fillId="0" borderId="11" xfId="0" applyNumberFormat="1" applyFont="1" applyBorder="1" applyAlignment="1">
      <alignment horizontal="left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" fillId="33" borderId="0" xfId="53" applyNumberFormat="1" applyFont="1" applyFill="1" applyBorder="1" applyAlignment="1">
      <alignment vertical="top" wrapText="1"/>
      <protection/>
    </xf>
    <xf numFmtId="4" fontId="63" fillId="0" borderId="10" xfId="0" applyNumberFormat="1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justify" vertical="center" wrapText="1"/>
    </xf>
    <xf numFmtId="4" fontId="64" fillId="0" borderId="10" xfId="0" applyNumberFormat="1" applyFont="1" applyFill="1" applyBorder="1" applyAlignment="1">
      <alignment horizontal="justify" vertical="center" wrapText="1"/>
    </xf>
    <xf numFmtId="4" fontId="72" fillId="0" borderId="10" xfId="0" applyNumberFormat="1" applyFont="1" applyFill="1" applyBorder="1" applyAlignment="1">
      <alignment horizontal="justify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justify" vertical="center" wrapText="1"/>
    </xf>
    <xf numFmtId="4" fontId="66" fillId="9" borderId="10" xfId="0" applyNumberFormat="1" applyFont="1" applyFill="1" applyBorder="1" applyAlignment="1">
      <alignment vertical="center" wrapText="1"/>
    </xf>
    <xf numFmtId="4" fontId="68" fillId="9" borderId="10" xfId="0" applyNumberFormat="1" applyFont="1" applyFill="1" applyBorder="1" applyAlignment="1">
      <alignment vertical="center" wrapText="1"/>
    </xf>
    <xf numFmtId="0" fontId="65" fillId="0" borderId="17" xfId="0" applyFont="1" applyBorder="1" applyAlignment="1">
      <alignment/>
    </xf>
    <xf numFmtId="0" fontId="65" fillId="0" borderId="15" xfId="0" applyFont="1" applyBorder="1" applyAlignment="1">
      <alignment/>
    </xf>
    <xf numFmtId="176" fontId="66" fillId="0" borderId="10" xfId="0" applyNumberFormat="1" applyFont="1" applyBorder="1" applyAlignment="1">
      <alignment vertical="center" wrapText="1"/>
    </xf>
    <xf numFmtId="4" fontId="66" fillId="7" borderId="10" xfId="0" applyNumberFormat="1" applyFont="1" applyFill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4" fontId="66" fillId="0" borderId="0" xfId="0" applyNumberFormat="1" applyFont="1" applyFill="1" applyBorder="1" applyAlignment="1">
      <alignment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44" fontId="66" fillId="0" borderId="10" xfId="43" applyFont="1" applyBorder="1" applyAlignment="1">
      <alignment vertical="center" wrapText="1"/>
    </xf>
    <xf numFmtId="44" fontId="63" fillId="0" borderId="10" xfId="43" applyFont="1" applyBorder="1" applyAlignment="1">
      <alignment vertical="center" wrapText="1"/>
    </xf>
    <xf numFmtId="44" fontId="65" fillId="0" borderId="0" xfId="43" applyFont="1" applyAlignment="1">
      <alignment/>
    </xf>
    <xf numFmtId="0" fontId="69" fillId="0" borderId="0" xfId="0" applyFont="1" applyAlignment="1">
      <alignment horizontal="center" vertical="center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4" fontId="63" fillId="0" borderId="10" xfId="0" applyNumberFormat="1" applyFont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78" fillId="4" borderId="10" xfId="0" applyFont="1" applyFill="1" applyBorder="1" applyAlignment="1">
      <alignment vertical="center" wrapText="1"/>
    </xf>
    <xf numFmtId="4" fontId="63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justify" vertical="center" wrapText="1"/>
    </xf>
    <xf numFmtId="4" fontId="63" fillId="0" borderId="10" xfId="0" applyNumberFormat="1" applyFont="1" applyBorder="1" applyAlignment="1">
      <alignment horizontal="justify" vertical="center" wrapText="1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4" fontId="64" fillId="0" borderId="11" xfId="0" applyNumberFormat="1" applyFont="1" applyBorder="1" applyAlignment="1">
      <alignment horizontal="center" vertical="center" wrapText="1"/>
    </xf>
    <xf numFmtId="4" fontId="64" fillId="0" borderId="12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8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78" fillId="4" borderId="10" xfId="0" applyFont="1" applyFill="1" applyBorder="1" applyAlignment="1">
      <alignment vertical="center" wrapText="1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3" fillId="0" borderId="23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center"/>
    </xf>
    <xf numFmtId="0" fontId="64" fillId="0" borderId="19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wrapText="1"/>
    </xf>
    <xf numFmtId="0" fontId="65" fillId="0" borderId="17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/>
    </xf>
    <xf numFmtId="0" fontId="64" fillId="0" borderId="19" xfId="0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5" fillId="0" borderId="16" xfId="0" applyFont="1" applyBorder="1" applyAlignment="1">
      <alignment horizontal="center" wrapText="1"/>
    </xf>
    <xf numFmtId="0" fontId="65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сн.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="80" zoomScaleNormal="80" zoomScalePageLayoutView="0" workbookViewId="0" topLeftCell="A1">
      <selection activeCell="A12" sqref="A12:C12"/>
    </sheetView>
  </sheetViews>
  <sheetFormatPr defaultColWidth="9.140625" defaultRowHeight="15"/>
  <cols>
    <col min="1" max="1" width="14.28125" style="15" customWidth="1"/>
    <col min="2" max="2" width="54.28125" style="15" customWidth="1"/>
    <col min="3" max="3" width="25.28125" style="15" customWidth="1"/>
    <col min="4" max="4" width="9.140625" style="15" customWidth="1"/>
    <col min="5" max="6" width="16.57421875" style="15" customWidth="1"/>
    <col min="7" max="16384" width="9.140625" style="15" customWidth="1"/>
  </cols>
  <sheetData>
    <row r="1" ht="15.75">
      <c r="A1" s="8"/>
    </row>
    <row r="2" ht="15.75">
      <c r="A2" s="122"/>
    </row>
    <row r="3" spans="1:6" ht="15.75">
      <c r="A3" s="207" t="s">
        <v>318</v>
      </c>
      <c r="B3" s="207"/>
      <c r="C3" s="207"/>
      <c r="D3" s="2"/>
      <c r="E3" s="2"/>
      <c r="F3" s="2"/>
    </row>
    <row r="4" spans="1:6" ht="15.75">
      <c r="A4" s="207" t="s">
        <v>319</v>
      </c>
      <c r="B4" s="207"/>
      <c r="C4" s="207"/>
      <c r="D4" s="2"/>
      <c r="E4" s="2"/>
      <c r="F4" s="2"/>
    </row>
    <row r="5" spans="1:3" ht="65.25" customHeight="1">
      <c r="A5" s="208" t="s">
        <v>320</v>
      </c>
      <c r="B5" s="208"/>
      <c r="C5" s="208"/>
    </row>
    <row r="6" spans="1:3" ht="15.75">
      <c r="A6" s="207" t="s">
        <v>321</v>
      </c>
      <c r="B6" s="207"/>
      <c r="C6" s="207"/>
    </row>
    <row r="7" spans="1:3" ht="15.75">
      <c r="A7" s="207" t="s">
        <v>416</v>
      </c>
      <c r="B7" s="207"/>
      <c r="C7" s="207"/>
    </row>
    <row r="8" spans="1:2" ht="15.75">
      <c r="A8" s="2"/>
      <c r="B8" s="193"/>
    </row>
    <row r="9" ht="15.75">
      <c r="A9" s="2" t="s">
        <v>288</v>
      </c>
    </row>
    <row r="10" ht="15.75">
      <c r="A10" s="1"/>
    </row>
    <row r="11" ht="15.75">
      <c r="A11" s="2" t="s">
        <v>289</v>
      </c>
    </row>
    <row r="12" spans="1:3" ht="177.75" customHeight="1">
      <c r="A12" s="206" t="s">
        <v>322</v>
      </c>
      <c r="B12" s="206"/>
      <c r="C12" s="206"/>
    </row>
    <row r="13" ht="15.75">
      <c r="A13" s="1"/>
    </row>
    <row r="14" ht="15.75">
      <c r="A14" s="2" t="s">
        <v>290</v>
      </c>
    </row>
    <row r="15" spans="1:3" ht="15.75" customHeight="1">
      <c r="A15" s="206" t="s">
        <v>323</v>
      </c>
      <c r="B15" s="206"/>
      <c r="C15" s="206"/>
    </row>
    <row r="16" spans="1:3" ht="58.5" customHeight="1">
      <c r="A16" s="206"/>
      <c r="B16" s="206"/>
      <c r="C16" s="206"/>
    </row>
    <row r="17" ht="15.75">
      <c r="A17" s="2" t="s">
        <v>291</v>
      </c>
    </row>
    <row r="18" spans="1:3" ht="216" customHeight="1">
      <c r="A18" s="206" t="s">
        <v>324</v>
      </c>
      <c r="B18" s="206"/>
      <c r="C18" s="206"/>
    </row>
    <row r="19" ht="15.75">
      <c r="A19" s="2"/>
    </row>
    <row r="20" ht="15.75">
      <c r="A20" s="2" t="s">
        <v>325</v>
      </c>
    </row>
    <row r="21" spans="1:5" ht="15.75">
      <c r="A21" s="2"/>
      <c r="C21" s="8" t="s">
        <v>292</v>
      </c>
      <c r="E21" s="1"/>
    </row>
    <row r="22" spans="1:3" ht="15.75">
      <c r="A22" s="120" t="s">
        <v>293</v>
      </c>
      <c r="B22" s="120" t="s">
        <v>2</v>
      </c>
      <c r="C22" s="120" t="s">
        <v>294</v>
      </c>
    </row>
    <row r="23" spans="1:3" ht="15.75">
      <c r="A23" s="120">
        <v>1</v>
      </c>
      <c r="B23" s="120">
        <v>2</v>
      </c>
      <c r="C23" s="120">
        <v>3</v>
      </c>
    </row>
    <row r="24" spans="1:3" ht="15.75">
      <c r="A24" s="119"/>
      <c r="B24" s="3" t="s">
        <v>295</v>
      </c>
      <c r="C24" s="121">
        <v>99319</v>
      </c>
    </row>
    <row r="25" spans="1:3" ht="15.75">
      <c r="A25" s="204"/>
      <c r="B25" s="3" t="s">
        <v>14</v>
      </c>
      <c r="C25" s="205">
        <v>74258</v>
      </c>
    </row>
    <row r="26" spans="1:3" ht="15.75">
      <c r="A26" s="204"/>
      <c r="B26" s="3" t="s">
        <v>296</v>
      </c>
      <c r="C26" s="205"/>
    </row>
    <row r="27" spans="1:3" ht="15.75">
      <c r="A27" s="119"/>
      <c r="B27" s="3" t="s">
        <v>297</v>
      </c>
      <c r="C27" s="121">
        <v>43889</v>
      </c>
    </row>
    <row r="28" spans="1:3" ht="15.75">
      <c r="A28" s="119"/>
      <c r="B28" s="3" t="s">
        <v>298</v>
      </c>
      <c r="C28" s="121">
        <v>17098</v>
      </c>
    </row>
    <row r="29" spans="1:3" ht="15.75">
      <c r="A29" s="119"/>
      <c r="B29" s="3" t="s">
        <v>297</v>
      </c>
      <c r="C29" s="121">
        <v>3768</v>
      </c>
    </row>
    <row r="30" spans="1:3" ht="15.75">
      <c r="A30" s="119"/>
      <c r="B30" s="3" t="s">
        <v>299</v>
      </c>
      <c r="C30" s="121">
        <v>4316</v>
      </c>
    </row>
    <row r="31" spans="1:3" ht="15.75">
      <c r="A31" s="204"/>
      <c r="B31" s="3" t="s">
        <v>14</v>
      </c>
      <c r="C31" s="205"/>
    </row>
    <row r="32" spans="1:3" ht="15.75">
      <c r="A32" s="204"/>
      <c r="B32" s="3" t="s">
        <v>300</v>
      </c>
      <c r="C32" s="205"/>
    </row>
    <row r="33" spans="1:3" ht="15.75">
      <c r="A33" s="204"/>
      <c r="B33" s="3" t="s">
        <v>6</v>
      </c>
      <c r="C33" s="205"/>
    </row>
    <row r="34" spans="1:3" ht="15.75">
      <c r="A34" s="204"/>
      <c r="B34" s="3" t="s">
        <v>301</v>
      </c>
      <c r="C34" s="205"/>
    </row>
    <row r="35" spans="1:3" ht="15.75">
      <c r="A35" s="119"/>
      <c r="B35" s="119"/>
      <c r="C35" s="121"/>
    </row>
    <row r="36" spans="1:3" ht="31.5">
      <c r="A36" s="119"/>
      <c r="B36" s="3" t="s">
        <v>302</v>
      </c>
      <c r="C36" s="121"/>
    </row>
    <row r="37" spans="1:3" ht="15.75">
      <c r="A37" s="119"/>
      <c r="B37" s="3" t="s">
        <v>303</v>
      </c>
      <c r="C37" s="121"/>
    </row>
    <row r="38" spans="1:3" ht="15.75">
      <c r="A38" s="119"/>
      <c r="B38" s="3" t="s">
        <v>304</v>
      </c>
      <c r="C38" s="121"/>
    </row>
    <row r="39" spans="1:3" ht="15.75">
      <c r="A39" s="119"/>
      <c r="B39" s="3" t="s">
        <v>305</v>
      </c>
      <c r="C39" s="121">
        <v>3371</v>
      </c>
    </row>
    <row r="40" spans="1:3" ht="15.75">
      <c r="A40" s="119"/>
      <c r="B40" s="3" t="s">
        <v>306</v>
      </c>
      <c r="C40" s="121"/>
    </row>
    <row r="41" spans="1:3" ht="15.75">
      <c r="A41" s="204"/>
      <c r="B41" s="3" t="s">
        <v>14</v>
      </c>
      <c r="C41" s="205"/>
    </row>
    <row r="42" spans="1:3" ht="15.75">
      <c r="A42" s="204"/>
      <c r="B42" s="3" t="s">
        <v>307</v>
      </c>
      <c r="C42" s="205"/>
    </row>
    <row r="43" spans="1:3" ht="15.75">
      <c r="A43" s="119"/>
      <c r="B43" s="3" t="s">
        <v>308</v>
      </c>
      <c r="C43" s="121"/>
    </row>
    <row r="44" spans="1:3" ht="15.75">
      <c r="A44" s="204"/>
      <c r="B44" s="3" t="s">
        <v>6</v>
      </c>
      <c r="C44" s="205"/>
    </row>
    <row r="45" spans="1:3" ht="15.75">
      <c r="A45" s="204"/>
      <c r="B45" s="3" t="s">
        <v>309</v>
      </c>
      <c r="C45" s="205"/>
    </row>
    <row r="46" ht="15.75">
      <c r="A46" s="1"/>
    </row>
    <row r="47" ht="15.75">
      <c r="A47" s="2"/>
    </row>
    <row r="48" ht="15.75">
      <c r="A48" s="2"/>
    </row>
  </sheetData>
  <sheetProtection/>
  <mergeCells count="18">
    <mergeCell ref="C33:C34"/>
    <mergeCell ref="A31:A32"/>
    <mergeCell ref="C31:C32"/>
    <mergeCell ref="A3:C3"/>
    <mergeCell ref="A5:C5"/>
    <mergeCell ref="A7:C7"/>
    <mergeCell ref="A4:C4"/>
    <mergeCell ref="A6:C6"/>
    <mergeCell ref="A41:A42"/>
    <mergeCell ref="C41:C42"/>
    <mergeCell ref="A44:A45"/>
    <mergeCell ref="C44:C45"/>
    <mergeCell ref="A12:C12"/>
    <mergeCell ref="A15:C16"/>
    <mergeCell ref="A18:C18"/>
    <mergeCell ref="A25:A26"/>
    <mergeCell ref="C25:C26"/>
    <mergeCell ref="A33:A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rowBreaks count="1" manualBreakCount="1">
    <brk id="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31">
      <selection activeCell="D40" sqref="D40"/>
    </sheetView>
  </sheetViews>
  <sheetFormatPr defaultColWidth="9.140625" defaultRowHeight="15"/>
  <cols>
    <col min="1" max="1" width="5.140625" style="15" customWidth="1"/>
    <col min="2" max="2" width="34.00390625" style="15" customWidth="1"/>
    <col min="3" max="3" width="22.421875" style="15" customWidth="1"/>
    <col min="4" max="4" width="23.28125" style="15" customWidth="1"/>
    <col min="5" max="5" width="9.140625" style="15" customWidth="1"/>
    <col min="6" max="6" width="12.7109375" style="15" bestFit="1" customWidth="1"/>
    <col min="7" max="7" width="11.7109375" style="15" bestFit="1" customWidth="1"/>
    <col min="8" max="16384" width="9.140625" style="15" customWidth="1"/>
  </cols>
  <sheetData>
    <row r="1" spans="1:4" ht="40.5" customHeight="1">
      <c r="A1" s="235" t="s">
        <v>222</v>
      </c>
      <c r="B1" s="235"/>
      <c r="C1" s="235"/>
      <c r="D1" s="235"/>
    </row>
    <row r="2" spans="1:4" ht="15.75">
      <c r="A2" s="240" t="s">
        <v>63</v>
      </c>
      <c r="B2" s="241"/>
      <c r="C2" s="234" t="s">
        <v>414</v>
      </c>
      <c r="D2" s="234"/>
    </row>
    <row r="3" spans="1:4" ht="15.75">
      <c r="A3" s="240" t="s">
        <v>64</v>
      </c>
      <c r="B3" s="241"/>
      <c r="C3" s="234" t="s">
        <v>276</v>
      </c>
      <c r="D3" s="234"/>
    </row>
    <row r="4" spans="1:8" ht="80.25" customHeight="1">
      <c r="A4" s="239" t="s">
        <v>100</v>
      </c>
      <c r="B4" s="239"/>
      <c r="C4" s="239"/>
      <c r="D4" s="239"/>
      <c r="E4" s="9"/>
      <c r="F4" s="9"/>
      <c r="G4" s="9"/>
      <c r="H4" s="9"/>
    </row>
    <row r="5" spans="1:4" ht="63">
      <c r="A5" s="127" t="s">
        <v>66</v>
      </c>
      <c r="B5" s="127" t="s">
        <v>101</v>
      </c>
      <c r="C5" s="127" t="s">
        <v>102</v>
      </c>
      <c r="D5" s="127" t="s">
        <v>103</v>
      </c>
    </row>
    <row r="6" spans="1:4" ht="15.75">
      <c r="A6" s="127">
        <v>1</v>
      </c>
      <c r="B6" s="127">
        <v>2</v>
      </c>
      <c r="C6" s="127">
        <v>3</v>
      </c>
      <c r="D6" s="127">
        <v>4</v>
      </c>
    </row>
    <row r="7" spans="1:7" ht="47.25">
      <c r="A7" s="127">
        <v>1</v>
      </c>
      <c r="B7" s="3" t="s">
        <v>104</v>
      </c>
      <c r="C7" s="127" t="s">
        <v>77</v>
      </c>
      <c r="D7" s="31">
        <f>D9+D10+D11</f>
        <v>5970544.2891999995</v>
      </c>
      <c r="G7" s="78"/>
    </row>
    <row r="8" spans="1:8" ht="15.75">
      <c r="A8" s="14"/>
      <c r="B8" s="3" t="s">
        <v>6</v>
      </c>
      <c r="C8" s="13"/>
      <c r="D8" s="31"/>
      <c r="F8" s="78"/>
      <c r="G8" s="78"/>
      <c r="H8" s="78"/>
    </row>
    <row r="9" spans="1:8" ht="15.75">
      <c r="A9" s="127" t="s">
        <v>85</v>
      </c>
      <c r="B9" s="3" t="s">
        <v>226</v>
      </c>
      <c r="C9" s="31">
        <v>26200320.06</v>
      </c>
      <c r="D9" s="31">
        <f>C9*22%+56.37+1017.5</f>
        <v>5765144.2831999995</v>
      </c>
      <c r="F9" s="78"/>
      <c r="G9" s="78"/>
      <c r="H9" s="78"/>
    </row>
    <row r="10" spans="1:8" ht="15.75">
      <c r="A10" s="127" t="s">
        <v>87</v>
      </c>
      <c r="B10" s="40" t="s">
        <v>225</v>
      </c>
      <c r="C10" s="31">
        <v>2054000.06</v>
      </c>
      <c r="D10" s="31">
        <f>C10*10%</f>
        <v>205400.00600000002</v>
      </c>
      <c r="F10" s="78"/>
      <c r="G10" s="78"/>
      <c r="H10" s="78"/>
    </row>
    <row r="11" spans="1:8" ht="77.25" customHeight="1" hidden="1">
      <c r="A11" s="127" t="s">
        <v>89</v>
      </c>
      <c r="B11" s="3" t="s">
        <v>105</v>
      </c>
      <c r="C11" s="31"/>
      <c r="D11" s="31"/>
      <c r="F11" s="78"/>
      <c r="G11" s="78"/>
      <c r="H11" s="78"/>
    </row>
    <row r="12" spans="1:4" ht="47.25">
      <c r="A12" s="127">
        <v>2</v>
      </c>
      <c r="B12" s="3" t="s">
        <v>106</v>
      </c>
      <c r="C12" s="127" t="s">
        <v>77</v>
      </c>
      <c r="D12" s="31">
        <f>D14+D15+D16+D17+D18</f>
        <v>812209.9218599999</v>
      </c>
    </row>
    <row r="13" spans="1:4" ht="15.75" hidden="1">
      <c r="A13" s="14"/>
      <c r="B13" s="3" t="s">
        <v>6</v>
      </c>
      <c r="C13" s="13"/>
      <c r="D13" s="31"/>
    </row>
    <row r="14" spans="1:4" ht="69" customHeight="1">
      <c r="A14" s="127" t="s">
        <v>92</v>
      </c>
      <c r="B14" s="3" t="s">
        <v>107</v>
      </c>
      <c r="C14" s="31">
        <f>C9</f>
        <v>26200320.06</v>
      </c>
      <c r="D14" s="31">
        <f>C14*2.9%</f>
        <v>759809.2817399999</v>
      </c>
    </row>
    <row r="15" spans="1:4" ht="66" customHeight="1" hidden="1">
      <c r="A15" s="127" t="s">
        <v>93</v>
      </c>
      <c r="B15" s="3" t="s">
        <v>108</v>
      </c>
      <c r="C15" s="31">
        <v>0</v>
      </c>
      <c r="D15" s="31">
        <f>C15*0.2%</f>
        <v>0</v>
      </c>
    </row>
    <row r="16" spans="1:4" ht="78" customHeight="1">
      <c r="A16" s="127" t="s">
        <v>94</v>
      </c>
      <c r="B16" s="3" t="s">
        <v>109</v>
      </c>
      <c r="C16" s="31">
        <f>C14</f>
        <v>26200320.06</v>
      </c>
      <c r="D16" s="31">
        <f>C16*0.2%</f>
        <v>52400.64012</v>
      </c>
    </row>
    <row r="17" spans="1:4" ht="84" customHeight="1" hidden="1">
      <c r="A17" s="127" t="s">
        <v>110</v>
      </c>
      <c r="B17" s="3" t="s">
        <v>111</v>
      </c>
      <c r="C17" s="31"/>
      <c r="D17" s="31"/>
    </row>
    <row r="18" spans="1:4" ht="78.75" hidden="1">
      <c r="A18" s="127" t="s">
        <v>112</v>
      </c>
      <c r="B18" s="3" t="s">
        <v>111</v>
      </c>
      <c r="C18" s="31"/>
      <c r="D18" s="31"/>
    </row>
    <row r="19" spans="1:4" ht="63.75" customHeight="1">
      <c r="A19" s="138">
        <v>3</v>
      </c>
      <c r="B19" s="3" t="s">
        <v>113</v>
      </c>
      <c r="C19" s="31">
        <f>C16</f>
        <v>26200320.06</v>
      </c>
      <c r="D19" s="31">
        <f>C19*5.1%</f>
        <v>1336216.3230599998</v>
      </c>
    </row>
    <row r="20" spans="1:4" s="36" customFormat="1" ht="19.5" customHeight="1">
      <c r="A20" s="33"/>
      <c r="B20" s="34" t="s">
        <v>76</v>
      </c>
      <c r="C20" s="139" t="s">
        <v>77</v>
      </c>
      <c r="D20" s="171">
        <f>D19+D12+D7+36012.43</f>
        <v>8154982.964119999</v>
      </c>
    </row>
    <row r="21" spans="1:4" s="36" customFormat="1" ht="19.5" customHeight="1">
      <c r="A21" s="235" t="s">
        <v>222</v>
      </c>
      <c r="B21" s="235"/>
      <c r="C21" s="235"/>
      <c r="D21" s="235"/>
    </row>
    <row r="22" spans="1:4" ht="15.75">
      <c r="A22" s="227" t="s">
        <v>63</v>
      </c>
      <c r="B22" s="227"/>
      <c r="C22" s="234" t="s">
        <v>437</v>
      </c>
      <c r="D22" s="234"/>
    </row>
    <row r="23" spans="1:4" ht="15.75">
      <c r="A23" s="236" t="s">
        <v>64</v>
      </c>
      <c r="B23" s="237"/>
      <c r="C23" s="238" t="s">
        <v>356</v>
      </c>
      <c r="D23" s="238"/>
    </row>
    <row r="24" spans="1:4" ht="84" customHeight="1">
      <c r="A24" s="239" t="s">
        <v>100</v>
      </c>
      <c r="B24" s="239"/>
      <c r="C24" s="239"/>
      <c r="D24" s="239"/>
    </row>
    <row r="25" spans="1:4" ht="63">
      <c r="A25" s="138" t="s">
        <v>66</v>
      </c>
      <c r="B25" s="138" t="s">
        <v>101</v>
      </c>
      <c r="C25" s="138" t="s">
        <v>102</v>
      </c>
      <c r="D25" s="138" t="s">
        <v>103</v>
      </c>
    </row>
    <row r="26" spans="1:4" ht="15.75">
      <c r="A26" s="138">
        <v>1</v>
      </c>
      <c r="B26" s="138">
        <v>2</v>
      </c>
      <c r="C26" s="138">
        <v>3</v>
      </c>
      <c r="D26" s="138">
        <v>4</v>
      </c>
    </row>
    <row r="27" spans="1:4" ht="47.25">
      <c r="A27" s="138">
        <v>1</v>
      </c>
      <c r="B27" s="3" t="s">
        <v>104</v>
      </c>
      <c r="C27" s="138" t="s">
        <v>77</v>
      </c>
      <c r="D27" s="31">
        <f>D29+D30+D31</f>
        <v>794544.4452000001</v>
      </c>
    </row>
    <row r="28" spans="1:4" ht="15.75">
      <c r="A28" s="14"/>
      <c r="B28" s="3" t="s">
        <v>6</v>
      </c>
      <c r="C28" s="13"/>
      <c r="D28" s="31"/>
    </row>
    <row r="29" spans="1:4" ht="15.75">
      <c r="A29" s="138" t="s">
        <v>85</v>
      </c>
      <c r="B29" s="3" t="s">
        <v>226</v>
      </c>
      <c r="C29" s="31">
        <v>3611565.66</v>
      </c>
      <c r="D29" s="31">
        <f>C29*22%</f>
        <v>794544.4452000001</v>
      </c>
    </row>
    <row r="30" spans="1:4" ht="15.75">
      <c r="A30" s="138" t="s">
        <v>87</v>
      </c>
      <c r="B30" s="40" t="s">
        <v>225</v>
      </c>
      <c r="C30" s="31"/>
      <c r="D30" s="31">
        <f>C30*10%</f>
        <v>0</v>
      </c>
    </row>
    <row r="31" spans="1:4" ht="78.75">
      <c r="A31" s="138" t="s">
        <v>89</v>
      </c>
      <c r="B31" s="3" t="s">
        <v>105</v>
      </c>
      <c r="C31" s="31"/>
      <c r="D31" s="31"/>
    </row>
    <row r="32" spans="1:4" ht="47.25">
      <c r="A32" s="138">
        <v>2</v>
      </c>
      <c r="B32" s="3" t="s">
        <v>106</v>
      </c>
      <c r="C32" s="138" t="s">
        <v>77</v>
      </c>
      <c r="D32" s="31">
        <f>D34+D35+D36+D37+D38</f>
        <v>111958.53546</v>
      </c>
    </row>
    <row r="33" spans="1:4" ht="15.75">
      <c r="A33" s="14"/>
      <c r="B33" s="3" t="s">
        <v>6</v>
      </c>
      <c r="C33" s="13"/>
      <c r="D33" s="31"/>
    </row>
    <row r="34" spans="1:4" ht="78.75">
      <c r="A34" s="138" t="s">
        <v>92</v>
      </c>
      <c r="B34" s="3" t="s">
        <v>107</v>
      </c>
      <c r="C34" s="31">
        <f>C29</f>
        <v>3611565.66</v>
      </c>
      <c r="D34" s="31">
        <f>C34*2.9%</f>
        <v>104735.40414</v>
      </c>
    </row>
    <row r="35" spans="1:4" ht="63" hidden="1">
      <c r="A35" s="138" t="s">
        <v>93</v>
      </c>
      <c r="B35" s="3" t="s">
        <v>108</v>
      </c>
      <c r="C35" s="31">
        <v>0</v>
      </c>
      <c r="D35" s="31">
        <f>C35*0.2%</f>
        <v>0</v>
      </c>
    </row>
    <row r="36" spans="1:4" ht="78.75">
      <c r="A36" s="138" t="s">
        <v>94</v>
      </c>
      <c r="B36" s="3" t="s">
        <v>109</v>
      </c>
      <c r="C36" s="31">
        <f>C34</f>
        <v>3611565.66</v>
      </c>
      <c r="D36" s="31">
        <f>C36*0.2%</f>
        <v>7223.13132</v>
      </c>
    </row>
    <row r="37" spans="1:4" ht="78.75" hidden="1">
      <c r="A37" s="138" t="s">
        <v>110</v>
      </c>
      <c r="B37" s="3" t="s">
        <v>111</v>
      </c>
      <c r="C37" s="31"/>
      <c r="D37" s="31"/>
    </row>
    <row r="38" spans="1:4" ht="78.75" hidden="1">
      <c r="A38" s="138" t="s">
        <v>112</v>
      </c>
      <c r="B38" s="3" t="s">
        <v>111</v>
      </c>
      <c r="C38" s="31"/>
      <c r="D38" s="31"/>
    </row>
    <row r="39" spans="1:4" ht="78.75">
      <c r="A39" s="138">
        <v>3</v>
      </c>
      <c r="B39" s="3" t="s">
        <v>113</v>
      </c>
      <c r="C39" s="31">
        <f>C36</f>
        <v>3611565.66</v>
      </c>
      <c r="D39" s="31">
        <f>C39*5.1%</f>
        <v>184189.84866</v>
      </c>
    </row>
    <row r="40" spans="1:4" ht="15.75">
      <c r="A40" s="33"/>
      <c r="B40" s="34" t="s">
        <v>76</v>
      </c>
      <c r="C40" s="139" t="s">
        <v>77</v>
      </c>
      <c r="D40" s="37">
        <f>D39+D32+D27-166655.51</f>
        <v>924037.31932</v>
      </c>
    </row>
    <row r="42" spans="1:4" ht="15.75">
      <c r="A42" s="235" t="s">
        <v>222</v>
      </c>
      <c r="B42" s="235"/>
      <c r="C42" s="235"/>
      <c r="D42" s="235"/>
    </row>
    <row r="43" spans="1:4" ht="15.75">
      <c r="A43" s="227" t="s">
        <v>63</v>
      </c>
      <c r="B43" s="227"/>
      <c r="C43" s="234" t="s">
        <v>444</v>
      </c>
      <c r="D43" s="234"/>
    </row>
    <row r="44" spans="1:4" ht="15.75">
      <c r="A44" s="236" t="s">
        <v>64</v>
      </c>
      <c r="B44" s="237"/>
      <c r="C44" s="238" t="s">
        <v>357</v>
      </c>
      <c r="D44" s="238"/>
    </row>
    <row r="45" spans="1:4" ht="15.75">
      <c r="A45" s="239" t="s">
        <v>100</v>
      </c>
      <c r="B45" s="239"/>
      <c r="C45" s="239"/>
      <c r="D45" s="239"/>
    </row>
    <row r="46" spans="1:4" ht="63">
      <c r="A46" s="138" t="s">
        <v>66</v>
      </c>
      <c r="B46" s="138" t="s">
        <v>101</v>
      </c>
      <c r="C46" s="138" t="s">
        <v>102</v>
      </c>
      <c r="D46" s="138" t="s">
        <v>103</v>
      </c>
    </row>
    <row r="47" spans="1:4" ht="15.75">
      <c r="A47" s="138">
        <v>1</v>
      </c>
      <c r="B47" s="138">
        <v>2</v>
      </c>
      <c r="C47" s="138">
        <v>3</v>
      </c>
      <c r="D47" s="138">
        <v>4</v>
      </c>
    </row>
    <row r="48" spans="1:4" ht="47.25">
      <c r="A48" s="138">
        <v>1</v>
      </c>
      <c r="B48" s="3" t="s">
        <v>104</v>
      </c>
      <c r="C48" s="138" t="s">
        <v>77</v>
      </c>
      <c r="D48" s="31">
        <f>D50+D51+D52</f>
        <v>39166.115999999995</v>
      </c>
    </row>
    <row r="49" spans="1:4" ht="15.75">
      <c r="A49" s="14"/>
      <c r="B49" s="3" t="s">
        <v>6</v>
      </c>
      <c r="C49" s="13"/>
      <c r="D49" s="31"/>
    </row>
    <row r="50" spans="1:4" ht="15.75">
      <c r="A50" s="138" t="s">
        <v>85</v>
      </c>
      <c r="B50" s="3" t="s">
        <v>226</v>
      </c>
      <c r="C50" s="31">
        <v>178027.8</v>
      </c>
      <c r="D50" s="31">
        <f>C50*22%</f>
        <v>39166.115999999995</v>
      </c>
    </row>
    <row r="51" spans="1:4" ht="15.75">
      <c r="A51" s="138" t="s">
        <v>87</v>
      </c>
      <c r="B51" s="40" t="s">
        <v>225</v>
      </c>
      <c r="C51" s="31"/>
      <c r="D51" s="31">
        <f>C51*10%</f>
        <v>0</v>
      </c>
    </row>
    <row r="52" spans="1:4" ht="78.75">
      <c r="A52" s="138" t="s">
        <v>89</v>
      </c>
      <c r="B52" s="3" t="s">
        <v>105</v>
      </c>
      <c r="C52" s="31"/>
      <c r="D52" s="31"/>
    </row>
    <row r="53" spans="1:4" ht="47.25">
      <c r="A53" s="138">
        <v>2</v>
      </c>
      <c r="B53" s="3" t="s">
        <v>106</v>
      </c>
      <c r="C53" s="138" t="s">
        <v>77</v>
      </c>
      <c r="D53" s="31">
        <f>D55+D56+D57+D58+D59</f>
        <v>5518.861799999999</v>
      </c>
    </row>
    <row r="54" spans="1:4" ht="15.75">
      <c r="A54" s="14"/>
      <c r="B54" s="3" t="s">
        <v>6</v>
      </c>
      <c r="C54" s="13"/>
      <c r="D54" s="31"/>
    </row>
    <row r="55" spans="1:4" ht="78.75">
      <c r="A55" s="138" t="s">
        <v>92</v>
      </c>
      <c r="B55" s="3" t="s">
        <v>107</v>
      </c>
      <c r="C55" s="31">
        <f>C50</f>
        <v>178027.8</v>
      </c>
      <c r="D55" s="31">
        <f>C55*2.9%</f>
        <v>5162.806199999999</v>
      </c>
    </row>
    <row r="56" spans="1:4" ht="63">
      <c r="A56" s="138" t="s">
        <v>93</v>
      </c>
      <c r="B56" s="3" t="s">
        <v>108</v>
      </c>
      <c r="C56" s="31">
        <v>0</v>
      </c>
      <c r="D56" s="31">
        <f>C56*0.2%</f>
        <v>0</v>
      </c>
    </row>
    <row r="57" spans="1:4" ht="78.75">
      <c r="A57" s="138" t="s">
        <v>94</v>
      </c>
      <c r="B57" s="3" t="s">
        <v>109</v>
      </c>
      <c r="C57" s="31">
        <f>C55</f>
        <v>178027.8</v>
      </c>
      <c r="D57" s="31">
        <f>C57*0.2%</f>
        <v>356.05559999999997</v>
      </c>
    </row>
    <row r="58" spans="1:4" ht="78.75">
      <c r="A58" s="138" t="s">
        <v>110</v>
      </c>
      <c r="B58" s="3" t="s">
        <v>111</v>
      </c>
      <c r="C58" s="31"/>
      <c r="D58" s="31"/>
    </row>
    <row r="59" spans="1:4" ht="78.75">
      <c r="A59" s="138" t="s">
        <v>112</v>
      </c>
      <c r="B59" s="3" t="s">
        <v>111</v>
      </c>
      <c r="C59" s="31"/>
      <c r="D59" s="31"/>
    </row>
    <row r="60" spans="1:4" ht="78.75">
      <c r="A60" s="138">
        <v>3</v>
      </c>
      <c r="B60" s="3" t="s">
        <v>113</v>
      </c>
      <c r="C60" s="31">
        <f>C57</f>
        <v>178027.8</v>
      </c>
      <c r="D60" s="31">
        <f>C60*5.1%</f>
        <v>9079.4178</v>
      </c>
    </row>
    <row r="61" spans="1:4" ht="15.75">
      <c r="A61" s="33"/>
      <c r="B61" s="34" t="s">
        <v>76</v>
      </c>
      <c r="C61" s="139" t="s">
        <v>77</v>
      </c>
      <c r="D61" s="37">
        <f>D60+D53+D48-0.01</f>
        <v>53764.38559999999</v>
      </c>
    </row>
    <row r="63" spans="1:4" ht="15.75">
      <c r="A63" s="235" t="s">
        <v>222</v>
      </c>
      <c r="B63" s="235"/>
      <c r="C63" s="235"/>
      <c r="D63" s="235"/>
    </row>
    <row r="64" spans="1:4" ht="15.75">
      <c r="A64" s="227" t="s">
        <v>63</v>
      </c>
      <c r="B64" s="227"/>
      <c r="C64" s="234" t="s">
        <v>467</v>
      </c>
      <c r="D64" s="234"/>
    </row>
    <row r="65" spans="1:4" ht="15.75">
      <c r="A65" s="236" t="s">
        <v>64</v>
      </c>
      <c r="B65" s="237"/>
      <c r="C65" s="238" t="s">
        <v>369</v>
      </c>
      <c r="D65" s="238"/>
    </row>
    <row r="66" spans="1:4" ht="15.75">
      <c r="A66" s="239" t="s">
        <v>100</v>
      </c>
      <c r="B66" s="239"/>
      <c r="C66" s="239"/>
      <c r="D66" s="239"/>
    </row>
    <row r="67" spans="1:4" ht="63">
      <c r="A67" s="152" t="s">
        <v>66</v>
      </c>
      <c r="B67" s="152" t="s">
        <v>101</v>
      </c>
      <c r="C67" s="152" t="s">
        <v>102</v>
      </c>
      <c r="D67" s="152" t="s">
        <v>103</v>
      </c>
    </row>
    <row r="68" spans="1:4" ht="15.75">
      <c r="A68" s="152">
        <v>1</v>
      </c>
      <c r="B68" s="152">
        <v>2</v>
      </c>
      <c r="C68" s="152">
        <v>3</v>
      </c>
      <c r="D68" s="152">
        <v>4</v>
      </c>
    </row>
    <row r="69" spans="1:4" ht="47.25">
      <c r="A69" s="152">
        <v>1</v>
      </c>
      <c r="B69" s="3" t="s">
        <v>104</v>
      </c>
      <c r="C69" s="152" t="s">
        <v>77</v>
      </c>
      <c r="D69" s="31">
        <f>D71+D72+D73</f>
        <v>2541.1122</v>
      </c>
    </row>
    <row r="70" spans="1:4" ht="15.75">
      <c r="A70" s="14"/>
      <c r="B70" s="3" t="s">
        <v>6</v>
      </c>
      <c r="C70" s="13"/>
      <c r="D70" s="31"/>
    </row>
    <row r="71" spans="1:4" ht="15.75">
      <c r="A71" s="152" t="s">
        <v>85</v>
      </c>
      <c r="B71" s="3" t="s">
        <v>226</v>
      </c>
      <c r="C71" s="31">
        <v>11550.51</v>
      </c>
      <c r="D71" s="31">
        <f>C71*22%</f>
        <v>2541.1122</v>
      </c>
    </row>
    <row r="72" spans="1:4" ht="15.75">
      <c r="A72" s="152" t="s">
        <v>87</v>
      </c>
      <c r="B72" s="40" t="s">
        <v>225</v>
      </c>
      <c r="C72" s="31"/>
      <c r="D72" s="31">
        <f>C72*10%</f>
        <v>0</v>
      </c>
    </row>
    <row r="73" spans="1:4" ht="78.75">
      <c r="A73" s="152" t="s">
        <v>89</v>
      </c>
      <c r="B73" s="3" t="s">
        <v>105</v>
      </c>
      <c r="C73" s="31"/>
      <c r="D73" s="31"/>
    </row>
    <row r="74" spans="1:4" ht="47.25">
      <c r="A74" s="152">
        <v>2</v>
      </c>
      <c r="B74" s="3" t="s">
        <v>106</v>
      </c>
      <c r="C74" s="152" t="s">
        <v>77</v>
      </c>
      <c r="D74" s="31">
        <f>D76+D77+D78+D79+D80</f>
        <v>358.06581</v>
      </c>
    </row>
    <row r="75" spans="1:4" ht="15.75">
      <c r="A75" s="14"/>
      <c r="B75" s="3" t="s">
        <v>6</v>
      </c>
      <c r="C75" s="13"/>
      <c r="D75" s="31"/>
    </row>
    <row r="76" spans="1:4" ht="78.75">
      <c r="A76" s="152" t="s">
        <v>92</v>
      </c>
      <c r="B76" s="3" t="s">
        <v>107</v>
      </c>
      <c r="C76" s="31">
        <v>11550.51</v>
      </c>
      <c r="D76" s="31">
        <f>C76*2.9%</f>
        <v>334.96479</v>
      </c>
    </row>
    <row r="77" spans="1:4" ht="63">
      <c r="A77" s="152" t="s">
        <v>93</v>
      </c>
      <c r="B77" s="3" t="s">
        <v>108</v>
      </c>
      <c r="C77" s="31">
        <v>0</v>
      </c>
      <c r="D77" s="31">
        <f>C77*0.2%</f>
        <v>0</v>
      </c>
    </row>
    <row r="78" spans="1:4" ht="78.75">
      <c r="A78" s="152" t="s">
        <v>94</v>
      </c>
      <c r="B78" s="3" t="s">
        <v>109</v>
      </c>
      <c r="C78" s="31">
        <f>C76</f>
        <v>11550.51</v>
      </c>
      <c r="D78" s="31">
        <f>C78*0.2%</f>
        <v>23.101020000000002</v>
      </c>
    </row>
    <row r="79" spans="1:4" ht="78.75">
      <c r="A79" s="152" t="s">
        <v>110</v>
      </c>
      <c r="B79" s="3" t="s">
        <v>111</v>
      </c>
      <c r="C79" s="31"/>
      <c r="D79" s="31"/>
    </row>
    <row r="80" spans="1:4" ht="78.75">
      <c r="A80" s="152" t="s">
        <v>112</v>
      </c>
      <c r="B80" s="3" t="s">
        <v>111</v>
      </c>
      <c r="C80" s="31"/>
      <c r="D80" s="31"/>
    </row>
    <row r="81" spans="1:4" ht="78.75">
      <c r="A81" s="152">
        <v>3</v>
      </c>
      <c r="B81" s="3" t="s">
        <v>113</v>
      </c>
      <c r="C81" s="31">
        <f>C78</f>
        <v>11550.51</v>
      </c>
      <c r="D81" s="31">
        <f>C81*5.1%</f>
        <v>589.07601</v>
      </c>
    </row>
    <row r="82" spans="1:4" ht="15.75">
      <c r="A82" s="33"/>
      <c r="B82" s="34" t="s">
        <v>76</v>
      </c>
      <c r="C82" s="153" t="s">
        <v>77</v>
      </c>
      <c r="D82" s="37">
        <f>D81+D74+D69</f>
        <v>3488.2540200000003</v>
      </c>
    </row>
  </sheetData>
  <sheetProtection/>
  <mergeCells count="24">
    <mergeCell ref="A1:D1"/>
    <mergeCell ref="A4:D4"/>
    <mergeCell ref="A2:B2"/>
    <mergeCell ref="A3:B3"/>
    <mergeCell ref="C2:D2"/>
    <mergeCell ref="C3:D3"/>
    <mergeCell ref="A22:B22"/>
    <mergeCell ref="C22:D22"/>
    <mergeCell ref="A23:B23"/>
    <mergeCell ref="C23:D23"/>
    <mergeCell ref="A24:D24"/>
    <mergeCell ref="A21:D21"/>
    <mergeCell ref="A42:D42"/>
    <mergeCell ref="A43:B43"/>
    <mergeCell ref="C43:D43"/>
    <mergeCell ref="A44:B44"/>
    <mergeCell ref="C44:D44"/>
    <mergeCell ref="A45:D45"/>
    <mergeCell ref="A63:D63"/>
    <mergeCell ref="A64:B64"/>
    <mergeCell ref="C64:D64"/>
    <mergeCell ref="A65:B65"/>
    <mergeCell ref="C65:D65"/>
    <mergeCell ref="A66:D66"/>
  </mergeCells>
  <printOptions/>
  <pageMargins left="0.47" right="0.2" top="0.28" bottom="0.33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55">
      <selection activeCell="D64" sqref="D64"/>
    </sheetView>
  </sheetViews>
  <sheetFormatPr defaultColWidth="9.140625" defaultRowHeight="15"/>
  <cols>
    <col min="1" max="1" width="5.140625" style="15" customWidth="1"/>
    <col min="2" max="2" width="34.00390625" style="15" customWidth="1"/>
    <col min="3" max="3" width="22.421875" style="15" customWidth="1"/>
    <col min="4" max="4" width="23.28125" style="15" customWidth="1"/>
    <col min="5" max="5" width="12.8515625" style="15" customWidth="1"/>
    <col min="6" max="6" width="17.7109375" style="15" customWidth="1"/>
    <col min="7" max="7" width="18.8515625" style="15" customWidth="1"/>
    <col min="8" max="16384" width="9.140625" style="15" customWidth="1"/>
  </cols>
  <sheetData>
    <row r="1" spans="1:4" ht="40.5" customHeight="1">
      <c r="A1" s="235" t="s">
        <v>222</v>
      </c>
      <c r="B1" s="235"/>
      <c r="C1" s="235"/>
      <c r="D1" s="235"/>
    </row>
    <row r="2" spans="1:4" ht="15.75">
      <c r="A2" s="240" t="s">
        <v>63</v>
      </c>
      <c r="B2" s="241"/>
      <c r="C2" s="234" t="s">
        <v>396</v>
      </c>
      <c r="D2" s="234"/>
    </row>
    <row r="3" spans="1:4" ht="15.75">
      <c r="A3" s="240" t="s">
        <v>64</v>
      </c>
      <c r="B3" s="241"/>
      <c r="C3" s="234" t="s">
        <v>275</v>
      </c>
      <c r="D3" s="234"/>
    </row>
    <row r="4" spans="1:8" ht="80.25" customHeight="1">
      <c r="A4" s="239" t="s">
        <v>100</v>
      </c>
      <c r="B4" s="239"/>
      <c r="C4" s="239"/>
      <c r="D4" s="239"/>
      <c r="E4" s="9"/>
      <c r="F4" s="9"/>
      <c r="G4" s="9"/>
      <c r="H4" s="9"/>
    </row>
    <row r="5" spans="1:4" ht="63">
      <c r="A5" s="127" t="s">
        <v>66</v>
      </c>
      <c r="B5" s="127" t="s">
        <v>101</v>
      </c>
      <c r="C5" s="127" t="s">
        <v>102</v>
      </c>
      <c r="D5" s="127" t="s">
        <v>103</v>
      </c>
    </row>
    <row r="6" spans="1:4" ht="15.75">
      <c r="A6" s="127">
        <v>1</v>
      </c>
      <c r="B6" s="127">
        <v>2</v>
      </c>
      <c r="C6" s="127">
        <v>3</v>
      </c>
      <c r="D6" s="127">
        <v>4</v>
      </c>
    </row>
    <row r="7" spans="1:8" ht="47.25">
      <c r="A7" s="127">
        <v>1</v>
      </c>
      <c r="B7" s="3" t="s">
        <v>104</v>
      </c>
      <c r="C7" s="127" t="s">
        <v>77</v>
      </c>
      <c r="D7" s="31">
        <f>D9+D10+D11</f>
        <v>744143.2592</v>
      </c>
      <c r="F7" s="78"/>
      <c r="G7" s="78"/>
      <c r="H7" s="78"/>
    </row>
    <row r="8" spans="1:8" ht="15.75">
      <c r="A8" s="14"/>
      <c r="B8" s="3" t="s">
        <v>6</v>
      </c>
      <c r="C8" s="13"/>
      <c r="D8" s="31"/>
      <c r="F8" s="78"/>
      <c r="G8" s="78"/>
      <c r="H8" s="78"/>
    </row>
    <row r="9" spans="1:8" ht="15.75">
      <c r="A9" s="127" t="s">
        <v>85</v>
      </c>
      <c r="B9" s="3" t="s">
        <v>226</v>
      </c>
      <c r="C9" s="31">
        <v>3382469.36</v>
      </c>
      <c r="D9" s="31">
        <f>C9*22%</f>
        <v>744143.2592</v>
      </c>
      <c r="F9" s="78"/>
      <c r="G9" s="78"/>
      <c r="H9" s="78"/>
    </row>
    <row r="10" spans="1:8" ht="15.75">
      <c r="A10" s="127" t="s">
        <v>87</v>
      </c>
      <c r="B10" s="40" t="s">
        <v>225</v>
      </c>
      <c r="C10" s="31"/>
      <c r="D10" s="31">
        <v>0</v>
      </c>
      <c r="F10" s="78"/>
      <c r="G10" s="78"/>
      <c r="H10" s="78"/>
    </row>
    <row r="11" spans="1:4" ht="77.25" customHeight="1">
      <c r="A11" s="127" t="s">
        <v>89</v>
      </c>
      <c r="B11" s="3" t="s">
        <v>105</v>
      </c>
      <c r="C11" s="31"/>
      <c r="D11" s="31"/>
    </row>
    <row r="12" spans="1:4" ht="47.25">
      <c r="A12" s="127">
        <v>2</v>
      </c>
      <c r="B12" s="3" t="s">
        <v>106</v>
      </c>
      <c r="C12" s="127" t="s">
        <v>77</v>
      </c>
      <c r="D12" s="31">
        <f>D14+D15+D16+D17+D18</f>
        <v>104856.55016</v>
      </c>
    </row>
    <row r="13" spans="1:4" ht="15.75">
      <c r="A13" s="14"/>
      <c r="B13" s="3" t="s">
        <v>6</v>
      </c>
      <c r="C13" s="13"/>
      <c r="D13" s="31"/>
    </row>
    <row r="14" spans="1:4" ht="69" customHeight="1">
      <c r="A14" s="127" t="s">
        <v>92</v>
      </c>
      <c r="B14" s="3" t="s">
        <v>107</v>
      </c>
      <c r="C14" s="31">
        <f>C9</f>
        <v>3382469.36</v>
      </c>
      <c r="D14" s="31">
        <f>C14*2.9%</f>
        <v>98091.61144</v>
      </c>
    </row>
    <row r="15" spans="1:4" ht="66" customHeight="1">
      <c r="A15" s="127" t="s">
        <v>93</v>
      </c>
      <c r="B15" s="3" t="s">
        <v>108</v>
      </c>
      <c r="C15" s="31">
        <v>0</v>
      </c>
      <c r="D15" s="31">
        <f>C15*0.2%</f>
        <v>0</v>
      </c>
    </row>
    <row r="16" spans="1:4" ht="78" customHeight="1">
      <c r="A16" s="127" t="s">
        <v>94</v>
      </c>
      <c r="B16" s="3" t="s">
        <v>109</v>
      </c>
      <c r="C16" s="31">
        <f>C14</f>
        <v>3382469.36</v>
      </c>
      <c r="D16" s="31">
        <f>C16*0.2%</f>
        <v>6764.93872</v>
      </c>
    </row>
    <row r="17" spans="1:4" ht="84" customHeight="1">
      <c r="A17" s="127" t="s">
        <v>110</v>
      </c>
      <c r="B17" s="3" t="s">
        <v>111</v>
      </c>
      <c r="C17" s="31"/>
      <c r="D17" s="31"/>
    </row>
    <row r="18" spans="1:4" ht="78.75">
      <c r="A18" s="127" t="s">
        <v>112</v>
      </c>
      <c r="B18" s="3" t="s">
        <v>111</v>
      </c>
      <c r="C18" s="31"/>
      <c r="D18" s="31"/>
    </row>
    <row r="19" spans="1:4" ht="63.75" customHeight="1">
      <c r="A19" s="127">
        <v>3</v>
      </c>
      <c r="B19" s="3" t="s">
        <v>113</v>
      </c>
      <c r="C19" s="31">
        <f>C16</f>
        <v>3382469.36</v>
      </c>
      <c r="D19" s="31">
        <f>C19*5.1%</f>
        <v>172505.93735999998</v>
      </c>
    </row>
    <row r="20" spans="1:4" s="36" customFormat="1" ht="19.5" customHeight="1">
      <c r="A20" s="33"/>
      <c r="B20" s="34" t="s">
        <v>76</v>
      </c>
      <c r="C20" s="128" t="s">
        <v>77</v>
      </c>
      <c r="D20" s="171">
        <f>D19+D12+D7-227363.45</f>
        <v>794142.29672</v>
      </c>
    </row>
    <row r="21" spans="1:4" s="36" customFormat="1" ht="19.5" customHeight="1">
      <c r="A21" s="144"/>
      <c r="B21" s="145"/>
      <c r="C21" s="146"/>
      <c r="D21" s="147"/>
    </row>
    <row r="22" spans="1:4" ht="40.5" customHeight="1">
      <c r="A22" s="235" t="s">
        <v>222</v>
      </c>
      <c r="B22" s="235"/>
      <c r="C22" s="235"/>
      <c r="D22" s="235"/>
    </row>
    <row r="23" spans="1:4" ht="15.75">
      <c r="A23" s="240" t="s">
        <v>63</v>
      </c>
      <c r="B23" s="241"/>
      <c r="C23" s="234" t="s">
        <v>512</v>
      </c>
      <c r="D23" s="234"/>
    </row>
    <row r="24" spans="1:4" ht="15.75">
      <c r="A24" s="240" t="s">
        <v>64</v>
      </c>
      <c r="B24" s="241"/>
      <c r="C24" s="234" t="s">
        <v>275</v>
      </c>
      <c r="D24" s="234"/>
    </row>
    <row r="25" spans="1:8" ht="80.25" customHeight="1">
      <c r="A25" s="239" t="s">
        <v>100</v>
      </c>
      <c r="B25" s="239"/>
      <c r="C25" s="239"/>
      <c r="D25" s="239"/>
      <c r="E25" s="9"/>
      <c r="F25" s="9"/>
      <c r="G25" s="9"/>
      <c r="H25" s="9"/>
    </row>
    <row r="26" spans="1:4" ht="63">
      <c r="A26" s="201" t="s">
        <v>66</v>
      </c>
      <c r="B26" s="201" t="s">
        <v>101</v>
      </c>
      <c r="C26" s="201" t="s">
        <v>102</v>
      </c>
      <c r="D26" s="201" t="s">
        <v>103</v>
      </c>
    </row>
    <row r="27" spans="1:4" ht="15.75">
      <c r="A27" s="201">
        <v>1</v>
      </c>
      <c r="B27" s="201">
        <v>2</v>
      </c>
      <c r="C27" s="201">
        <v>3</v>
      </c>
      <c r="D27" s="201">
        <v>4</v>
      </c>
    </row>
    <row r="28" spans="1:8" ht="47.25">
      <c r="A28" s="201">
        <v>1</v>
      </c>
      <c r="B28" s="3" t="s">
        <v>104</v>
      </c>
      <c r="C28" s="201" t="s">
        <v>77</v>
      </c>
      <c r="D28" s="31">
        <f>D30+D31+D32</f>
        <v>216524.9086</v>
      </c>
      <c r="F28" s="78"/>
      <c r="G28" s="78"/>
      <c r="H28" s="78"/>
    </row>
    <row r="29" spans="1:8" ht="15.75">
      <c r="A29" s="14"/>
      <c r="B29" s="3" t="s">
        <v>6</v>
      </c>
      <c r="C29" s="13"/>
      <c r="D29" s="31"/>
      <c r="F29" s="78"/>
      <c r="G29" s="78"/>
      <c r="H29" s="78"/>
    </row>
    <row r="30" spans="1:8" ht="15.75">
      <c r="A30" s="201" t="s">
        <v>85</v>
      </c>
      <c r="B30" s="3" t="s">
        <v>226</v>
      </c>
      <c r="C30" s="31">
        <v>984204.13</v>
      </c>
      <c r="D30" s="31">
        <f>C30*22%</f>
        <v>216524.9086</v>
      </c>
      <c r="F30" s="78"/>
      <c r="G30" s="78"/>
      <c r="H30" s="78"/>
    </row>
    <row r="31" spans="1:8" ht="15.75">
      <c r="A31" s="201" t="s">
        <v>87</v>
      </c>
      <c r="B31" s="40" t="s">
        <v>225</v>
      </c>
      <c r="C31" s="31"/>
      <c r="D31" s="31">
        <v>0</v>
      </c>
      <c r="F31" s="78"/>
      <c r="G31" s="78"/>
      <c r="H31" s="78"/>
    </row>
    <row r="32" spans="1:4" ht="77.25" customHeight="1">
      <c r="A32" s="201" t="s">
        <v>89</v>
      </c>
      <c r="B32" s="3" t="s">
        <v>105</v>
      </c>
      <c r="C32" s="31"/>
      <c r="D32" s="31"/>
    </row>
    <row r="33" spans="1:4" ht="47.25">
      <c r="A33" s="201">
        <v>2</v>
      </c>
      <c r="B33" s="3" t="s">
        <v>106</v>
      </c>
      <c r="C33" s="201" t="s">
        <v>77</v>
      </c>
      <c r="D33" s="31">
        <f>D35+D36+D37+D38+D39</f>
        <v>30510.328029999997</v>
      </c>
    </row>
    <row r="34" spans="1:4" ht="15.75">
      <c r="A34" s="14"/>
      <c r="B34" s="3" t="s">
        <v>6</v>
      </c>
      <c r="C34" s="13"/>
      <c r="D34" s="31"/>
    </row>
    <row r="35" spans="1:4" ht="69" customHeight="1">
      <c r="A35" s="201" t="s">
        <v>92</v>
      </c>
      <c r="B35" s="3" t="s">
        <v>107</v>
      </c>
      <c r="C35" s="31">
        <f>C30</f>
        <v>984204.13</v>
      </c>
      <c r="D35" s="31">
        <f>C35*2.9%</f>
        <v>28541.919769999997</v>
      </c>
    </row>
    <row r="36" spans="1:4" ht="66" customHeight="1">
      <c r="A36" s="201" t="s">
        <v>93</v>
      </c>
      <c r="B36" s="3" t="s">
        <v>108</v>
      </c>
      <c r="C36" s="31">
        <v>0</v>
      </c>
      <c r="D36" s="31">
        <f>C36*0.2%</f>
        <v>0</v>
      </c>
    </row>
    <row r="37" spans="1:4" ht="78" customHeight="1">
      <c r="A37" s="201" t="s">
        <v>94</v>
      </c>
      <c r="B37" s="3" t="s">
        <v>109</v>
      </c>
      <c r="C37" s="31">
        <f>C35</f>
        <v>984204.13</v>
      </c>
      <c r="D37" s="31">
        <f>C37*0.2%</f>
        <v>1968.4082600000002</v>
      </c>
    </row>
    <row r="38" spans="1:4" ht="84" customHeight="1">
      <c r="A38" s="201" t="s">
        <v>110</v>
      </c>
      <c r="B38" s="3" t="s">
        <v>111</v>
      </c>
      <c r="C38" s="31"/>
      <c r="D38" s="31"/>
    </row>
    <row r="39" spans="1:4" ht="78.75">
      <c r="A39" s="201" t="s">
        <v>112</v>
      </c>
      <c r="B39" s="3" t="s">
        <v>111</v>
      </c>
      <c r="C39" s="31"/>
      <c r="D39" s="31"/>
    </row>
    <row r="40" spans="1:4" ht="63.75" customHeight="1">
      <c r="A40" s="201">
        <v>3</v>
      </c>
      <c r="B40" s="3" t="s">
        <v>113</v>
      </c>
      <c r="C40" s="31">
        <f>C37</f>
        <v>984204.13</v>
      </c>
      <c r="D40" s="31">
        <f>C40*5.1%</f>
        <v>50194.41063</v>
      </c>
    </row>
    <row r="41" spans="1:4" s="36" customFormat="1" ht="19.5" customHeight="1">
      <c r="A41" s="33"/>
      <c r="B41" s="34" t="s">
        <v>76</v>
      </c>
      <c r="C41" s="199" t="s">
        <v>77</v>
      </c>
      <c r="D41" s="171">
        <f>D40+D33+D28</f>
        <v>297229.64726</v>
      </c>
    </row>
    <row r="42" spans="1:4" s="36" customFormat="1" ht="19.5" customHeight="1">
      <c r="A42" s="144"/>
      <c r="B42" s="145"/>
      <c r="C42" s="146"/>
      <c r="D42" s="147"/>
    </row>
    <row r="43" spans="1:4" s="36" customFormat="1" ht="19.5" customHeight="1">
      <c r="A43" s="235" t="s">
        <v>222</v>
      </c>
      <c r="B43" s="235"/>
      <c r="C43" s="235"/>
      <c r="D43" s="235"/>
    </row>
    <row r="44" spans="1:4" s="36" customFormat="1" ht="19.5" customHeight="1">
      <c r="A44" s="240" t="s">
        <v>63</v>
      </c>
      <c r="B44" s="241"/>
      <c r="C44" s="234" t="s">
        <v>434</v>
      </c>
      <c r="D44" s="234"/>
    </row>
    <row r="45" spans="1:4" s="36" customFormat="1" ht="19.5" customHeight="1">
      <c r="A45" s="240" t="s">
        <v>64</v>
      </c>
      <c r="B45" s="241"/>
      <c r="C45" s="234" t="s">
        <v>275</v>
      </c>
      <c r="D45" s="234"/>
    </row>
    <row r="46" spans="1:4" s="36" customFormat="1" ht="76.5" customHeight="1">
      <c r="A46" s="239" t="s">
        <v>100</v>
      </c>
      <c r="B46" s="239"/>
      <c r="C46" s="239"/>
      <c r="D46" s="239"/>
    </row>
    <row r="47" spans="1:2" ht="15.75">
      <c r="A47" s="126"/>
      <c r="B47" s="36" t="s">
        <v>351</v>
      </c>
    </row>
    <row r="48" spans="2:4" ht="63">
      <c r="B48" s="138" t="s">
        <v>101</v>
      </c>
      <c r="C48" s="138" t="s">
        <v>102</v>
      </c>
      <c r="D48" s="138" t="s">
        <v>103</v>
      </c>
    </row>
    <row r="49" spans="2:4" ht="15.75">
      <c r="B49" s="138">
        <v>2</v>
      </c>
      <c r="C49" s="138">
        <v>3</v>
      </c>
      <c r="D49" s="138">
        <v>4</v>
      </c>
    </row>
    <row r="50" spans="2:4" ht="47.25">
      <c r="B50" s="3" t="s">
        <v>104</v>
      </c>
      <c r="C50" s="138" t="s">
        <v>77</v>
      </c>
      <c r="D50" s="31">
        <f>D52+D53+D54</f>
        <v>53372.3058</v>
      </c>
    </row>
    <row r="51" spans="2:4" ht="15.75">
      <c r="B51" s="3" t="s">
        <v>6</v>
      </c>
      <c r="C51" s="13"/>
      <c r="D51" s="31"/>
    </row>
    <row r="52" spans="2:4" ht="15.75">
      <c r="B52" s="3" t="s">
        <v>226</v>
      </c>
      <c r="C52" s="31">
        <v>242601.39</v>
      </c>
      <c r="D52" s="31">
        <f>C52*22%</f>
        <v>53372.3058</v>
      </c>
    </row>
    <row r="53" spans="2:4" ht="15.75">
      <c r="B53" s="40" t="s">
        <v>225</v>
      </c>
      <c r="C53" s="31" t="s">
        <v>273</v>
      </c>
      <c r="D53" s="31">
        <v>0</v>
      </c>
    </row>
    <row r="54" spans="2:4" ht="78.75">
      <c r="B54" s="3" t="s">
        <v>105</v>
      </c>
      <c r="C54" s="31"/>
      <c r="D54" s="31"/>
    </row>
    <row r="55" spans="2:4" ht="47.25">
      <c r="B55" s="3" t="s">
        <v>106</v>
      </c>
      <c r="C55" s="138" t="s">
        <v>77</v>
      </c>
      <c r="D55" s="31">
        <f>D57+D58+D59+D60+D61</f>
        <v>7520.64309</v>
      </c>
    </row>
    <row r="56" spans="2:4" ht="15.75">
      <c r="B56" s="3" t="s">
        <v>6</v>
      </c>
      <c r="C56" s="13"/>
      <c r="D56" s="31"/>
    </row>
    <row r="57" spans="2:4" ht="78.75">
      <c r="B57" s="3" t="s">
        <v>107</v>
      </c>
      <c r="C57" s="31">
        <f>C52</f>
        <v>242601.39</v>
      </c>
      <c r="D57" s="31">
        <f>C57*2.9%</f>
        <v>7035.44031</v>
      </c>
    </row>
    <row r="58" spans="2:4" ht="63">
      <c r="B58" s="3" t="s">
        <v>108</v>
      </c>
      <c r="C58" s="31">
        <v>0</v>
      </c>
      <c r="D58" s="31">
        <f>C58*0.2%</f>
        <v>0</v>
      </c>
    </row>
    <row r="59" spans="2:4" ht="78.75">
      <c r="B59" s="3" t="s">
        <v>109</v>
      </c>
      <c r="C59" s="31">
        <f>C57</f>
        <v>242601.39</v>
      </c>
      <c r="D59" s="31">
        <f>C59*0.2%</f>
        <v>485.20278</v>
      </c>
    </row>
    <row r="60" spans="2:4" ht="78.75">
      <c r="B60" s="3" t="s">
        <v>111</v>
      </c>
      <c r="C60" s="31"/>
      <c r="D60" s="31"/>
    </row>
    <row r="61" spans="2:4" ht="78.75">
      <c r="B61" s="3" t="s">
        <v>111</v>
      </c>
      <c r="C61" s="31"/>
      <c r="D61" s="31"/>
    </row>
    <row r="62" spans="2:4" ht="78.75">
      <c r="B62" s="3" t="s">
        <v>113</v>
      </c>
      <c r="C62" s="31">
        <f>C59</f>
        <v>242601.39</v>
      </c>
      <c r="D62" s="31">
        <f>C62*5.1%</f>
        <v>12372.67089</v>
      </c>
    </row>
    <row r="63" spans="2:4" ht="15.75">
      <c r="B63" s="34" t="s">
        <v>76</v>
      </c>
      <c r="C63" s="139" t="s">
        <v>77</v>
      </c>
      <c r="D63" s="37">
        <f>D62+D55+D50-6996.56</f>
        <v>66269.05978000001</v>
      </c>
    </row>
    <row r="65" spans="1:4" ht="15.75">
      <c r="A65" s="235" t="s">
        <v>222</v>
      </c>
      <c r="B65" s="235"/>
      <c r="C65" s="235"/>
      <c r="D65" s="235"/>
    </row>
    <row r="66" spans="1:4" ht="15.75">
      <c r="A66" s="240" t="s">
        <v>63</v>
      </c>
      <c r="B66" s="241"/>
      <c r="C66" s="234" t="s">
        <v>469</v>
      </c>
      <c r="D66" s="234"/>
    </row>
    <row r="67" spans="1:4" ht="15.75">
      <c r="A67" s="240" t="s">
        <v>64</v>
      </c>
      <c r="B67" s="241"/>
      <c r="C67" s="234" t="s">
        <v>371</v>
      </c>
      <c r="D67" s="234"/>
    </row>
    <row r="68" spans="1:4" ht="15.75">
      <c r="A68" s="239" t="s">
        <v>100</v>
      </c>
      <c r="B68" s="239"/>
      <c r="C68" s="239"/>
      <c r="D68" s="239"/>
    </row>
    <row r="69" spans="1:2" ht="15.75">
      <c r="A69" s="151"/>
      <c r="B69" s="36" t="s">
        <v>351</v>
      </c>
    </row>
    <row r="70" spans="2:4" ht="63">
      <c r="B70" s="152" t="s">
        <v>101</v>
      </c>
      <c r="C70" s="152" t="s">
        <v>102</v>
      </c>
      <c r="D70" s="152" t="s">
        <v>103</v>
      </c>
    </row>
    <row r="71" spans="2:4" ht="15.75">
      <c r="B71" s="152">
        <v>2</v>
      </c>
      <c r="C71" s="152">
        <v>3</v>
      </c>
      <c r="D71" s="152">
        <v>4</v>
      </c>
    </row>
    <row r="72" spans="2:4" ht="47.25">
      <c r="B72" s="3" t="s">
        <v>104</v>
      </c>
      <c r="C72" s="152" t="s">
        <v>77</v>
      </c>
      <c r="D72" s="31">
        <f>D74+D75+D76</f>
        <v>177696.94580000002</v>
      </c>
    </row>
    <row r="73" spans="2:4" ht="15.75">
      <c r="B73" s="3" t="s">
        <v>6</v>
      </c>
      <c r="C73" s="13"/>
      <c r="D73" s="31"/>
    </row>
    <row r="74" spans="2:4" ht="15.75">
      <c r="B74" s="3" t="s">
        <v>226</v>
      </c>
      <c r="C74" s="31">
        <v>807713.39</v>
      </c>
      <c r="D74" s="31">
        <f>C74*22%</f>
        <v>177696.94580000002</v>
      </c>
    </row>
    <row r="75" spans="2:4" ht="15.75">
      <c r="B75" s="40" t="s">
        <v>225</v>
      </c>
      <c r="C75" s="31" t="s">
        <v>273</v>
      </c>
      <c r="D75" s="31">
        <v>0</v>
      </c>
    </row>
    <row r="76" spans="2:4" ht="78.75">
      <c r="B76" s="3" t="s">
        <v>105</v>
      </c>
      <c r="C76" s="31"/>
      <c r="D76" s="31"/>
    </row>
    <row r="77" spans="2:4" ht="47.25">
      <c r="B77" s="3" t="s">
        <v>106</v>
      </c>
      <c r="C77" s="152" t="s">
        <v>77</v>
      </c>
      <c r="D77" s="31">
        <f>D79+D80+D81+D82+D83</f>
        <v>25039.11509</v>
      </c>
    </row>
    <row r="78" spans="2:4" ht="15.75">
      <c r="B78" s="3" t="s">
        <v>6</v>
      </c>
      <c r="C78" s="13"/>
      <c r="D78" s="31"/>
    </row>
    <row r="79" spans="2:4" ht="78.75">
      <c r="B79" s="3" t="s">
        <v>107</v>
      </c>
      <c r="C79" s="31">
        <v>807713.39</v>
      </c>
      <c r="D79" s="31">
        <f>C79*2.9%</f>
        <v>23423.688309999998</v>
      </c>
    </row>
    <row r="80" spans="2:4" ht="63">
      <c r="B80" s="3" t="s">
        <v>108</v>
      </c>
      <c r="C80" s="31">
        <v>0</v>
      </c>
      <c r="D80" s="31">
        <f>C80*0.2%</f>
        <v>0</v>
      </c>
    </row>
    <row r="81" spans="2:4" ht="78.75">
      <c r="B81" s="3" t="s">
        <v>109</v>
      </c>
      <c r="C81" s="31">
        <f>C79</f>
        <v>807713.39</v>
      </c>
      <c r="D81" s="31">
        <f>C81*0.2%</f>
        <v>1615.42678</v>
      </c>
    </row>
    <row r="82" spans="2:4" ht="78.75">
      <c r="B82" s="3" t="s">
        <v>111</v>
      </c>
      <c r="C82" s="31"/>
      <c r="D82" s="31"/>
    </row>
    <row r="83" spans="2:4" ht="78.75">
      <c r="B83" s="3" t="s">
        <v>111</v>
      </c>
      <c r="C83" s="31"/>
      <c r="D83" s="31"/>
    </row>
    <row r="84" spans="2:4" ht="78.75">
      <c r="B84" s="3" t="s">
        <v>113</v>
      </c>
      <c r="C84" s="31">
        <f>C81</f>
        <v>807713.39</v>
      </c>
      <c r="D84" s="31">
        <f>C84*5.9%</f>
        <v>47655.09001000001</v>
      </c>
    </row>
    <row r="85" spans="2:4" ht="15.75">
      <c r="B85" s="34" t="s">
        <v>76</v>
      </c>
      <c r="C85" s="153" t="s">
        <v>77</v>
      </c>
      <c r="D85" s="37">
        <f>D84+D77+D72-6461.71</f>
        <v>243929.44090000002</v>
      </c>
    </row>
    <row r="86" spans="1:4" ht="15.75">
      <c r="A86" s="235" t="s">
        <v>222</v>
      </c>
      <c r="B86" s="235"/>
      <c r="C86" s="235"/>
      <c r="D86" s="235"/>
    </row>
    <row r="87" spans="1:4" ht="15.75">
      <c r="A87" s="240" t="s">
        <v>63</v>
      </c>
      <c r="B87" s="241"/>
      <c r="C87" s="234" t="s">
        <v>484</v>
      </c>
      <c r="D87" s="234"/>
    </row>
    <row r="88" spans="1:4" ht="15.75">
      <c r="A88" s="240" t="s">
        <v>64</v>
      </c>
      <c r="B88" s="241"/>
      <c r="C88" s="234" t="s">
        <v>362</v>
      </c>
      <c r="D88" s="234"/>
    </row>
    <row r="89" spans="1:4" ht="15.75">
      <c r="A89" s="239" t="s">
        <v>100</v>
      </c>
      <c r="B89" s="239"/>
      <c r="C89" s="239"/>
      <c r="D89" s="239"/>
    </row>
    <row r="90" spans="1:2" ht="15.75">
      <c r="A90" s="155"/>
      <c r="B90" s="36" t="s">
        <v>351</v>
      </c>
    </row>
    <row r="91" spans="2:4" ht="63">
      <c r="B91" s="157" t="s">
        <v>101</v>
      </c>
      <c r="C91" s="157" t="s">
        <v>102</v>
      </c>
      <c r="D91" s="157" t="s">
        <v>103</v>
      </c>
    </row>
    <row r="92" spans="2:4" ht="15.75">
      <c r="B92" s="157">
        <v>2</v>
      </c>
      <c r="C92" s="157">
        <v>3</v>
      </c>
      <c r="D92" s="157">
        <v>4</v>
      </c>
    </row>
    <row r="93" spans="2:4" ht="47.25">
      <c r="B93" s="3" t="s">
        <v>104</v>
      </c>
      <c r="C93" s="157" t="s">
        <v>77</v>
      </c>
      <c r="D93" s="31">
        <f>D95+D96+D97</f>
        <v>29703.599199999997</v>
      </c>
    </row>
    <row r="94" spans="2:4" ht="15.75">
      <c r="B94" s="3" t="s">
        <v>6</v>
      </c>
      <c r="C94" s="13"/>
      <c r="D94" s="31"/>
    </row>
    <row r="95" spans="2:4" ht="15.75">
      <c r="B95" s="3" t="s">
        <v>226</v>
      </c>
      <c r="C95" s="31">
        <v>135016.36</v>
      </c>
      <c r="D95" s="31">
        <f>C95*22%</f>
        <v>29703.599199999997</v>
      </c>
    </row>
    <row r="96" spans="2:4" ht="15.75">
      <c r="B96" s="40" t="s">
        <v>225</v>
      </c>
      <c r="C96" s="31" t="s">
        <v>273</v>
      </c>
      <c r="D96" s="31">
        <v>0</v>
      </c>
    </row>
    <row r="97" spans="2:4" ht="78.75">
      <c r="B97" s="3" t="s">
        <v>105</v>
      </c>
      <c r="C97" s="31"/>
      <c r="D97" s="31"/>
    </row>
    <row r="98" spans="2:4" ht="47.25">
      <c r="B98" s="3" t="s">
        <v>106</v>
      </c>
      <c r="C98" s="157" t="s">
        <v>77</v>
      </c>
      <c r="D98" s="31">
        <f>D100+D101+D102+D103+D104</f>
        <v>3915.4744399999995</v>
      </c>
    </row>
    <row r="99" spans="2:4" ht="15.75">
      <c r="B99" s="3" t="s">
        <v>6</v>
      </c>
      <c r="C99" s="13"/>
      <c r="D99" s="31"/>
    </row>
    <row r="100" spans="2:4" ht="78.75">
      <c r="B100" s="3" t="s">
        <v>107</v>
      </c>
      <c r="C100" s="31">
        <f>C95</f>
        <v>135016.36</v>
      </c>
      <c r="D100" s="31">
        <f>C100*2.9%</f>
        <v>3915.4744399999995</v>
      </c>
    </row>
    <row r="101" spans="2:4" ht="63">
      <c r="B101" s="3" t="s">
        <v>108</v>
      </c>
      <c r="C101" s="31">
        <v>0</v>
      </c>
      <c r="D101" s="31">
        <f>C101*0.2%</f>
        <v>0</v>
      </c>
    </row>
    <row r="102" spans="2:4" ht="78.75">
      <c r="B102" s="3" t="s">
        <v>109</v>
      </c>
      <c r="C102" s="31"/>
      <c r="D102" s="31">
        <f>C102*0.2%</f>
        <v>0</v>
      </c>
    </row>
    <row r="103" spans="2:4" ht="78.75">
      <c r="B103" s="3" t="s">
        <v>111</v>
      </c>
      <c r="C103" s="31"/>
      <c r="D103" s="31"/>
    </row>
    <row r="104" spans="2:4" ht="78.75">
      <c r="B104" s="3" t="s">
        <v>111</v>
      </c>
      <c r="C104" s="31"/>
      <c r="D104" s="31"/>
    </row>
    <row r="105" spans="2:4" ht="78.75">
      <c r="B105" s="3" t="s">
        <v>113</v>
      </c>
      <c r="C105" s="31">
        <f>C100</f>
        <v>135016.36</v>
      </c>
      <c r="D105" s="31">
        <f>C105*5.1%</f>
        <v>6885.834359999999</v>
      </c>
    </row>
    <row r="106" spans="2:4" ht="15.75">
      <c r="B106" s="34" t="s">
        <v>76</v>
      </c>
      <c r="C106" s="156" t="s">
        <v>77</v>
      </c>
      <c r="D106" s="37">
        <f>D95+D98+D105+270.044</f>
        <v>40774.952</v>
      </c>
    </row>
    <row r="107" spans="2:4" ht="15.75">
      <c r="B107" s="145"/>
      <c r="C107" s="146"/>
      <c r="D107" s="147"/>
    </row>
    <row r="108" spans="1:4" ht="15.75">
      <c r="A108" s="235" t="s">
        <v>222</v>
      </c>
      <c r="B108" s="235"/>
      <c r="C108" s="235"/>
      <c r="D108" s="235"/>
    </row>
    <row r="109" spans="1:4" ht="15.75">
      <c r="A109" s="240" t="s">
        <v>63</v>
      </c>
      <c r="B109" s="241"/>
      <c r="C109" s="234" t="s">
        <v>515</v>
      </c>
      <c r="D109" s="234"/>
    </row>
    <row r="110" spans="1:4" ht="15.75">
      <c r="A110" s="240" t="s">
        <v>64</v>
      </c>
      <c r="B110" s="241"/>
      <c r="C110" s="234" t="s">
        <v>362</v>
      </c>
      <c r="D110" s="234"/>
    </row>
    <row r="111" spans="1:4" ht="15.75">
      <c r="A111" s="239" t="s">
        <v>100</v>
      </c>
      <c r="B111" s="239"/>
      <c r="C111" s="239"/>
      <c r="D111" s="239"/>
    </row>
    <row r="112" spans="1:2" ht="15.75">
      <c r="A112" s="198"/>
      <c r="B112" s="36" t="s">
        <v>351</v>
      </c>
    </row>
    <row r="113" spans="2:4" ht="63">
      <c r="B113" s="201" t="s">
        <v>101</v>
      </c>
      <c r="C113" s="201" t="s">
        <v>102</v>
      </c>
      <c r="D113" s="201" t="s">
        <v>103</v>
      </c>
    </row>
    <row r="114" spans="2:4" ht="15.75">
      <c r="B114" s="201">
        <v>2</v>
      </c>
      <c r="C114" s="201">
        <v>3</v>
      </c>
      <c r="D114" s="201">
        <v>4</v>
      </c>
    </row>
    <row r="115" spans="2:4" ht="47.25">
      <c r="B115" s="3" t="s">
        <v>104</v>
      </c>
      <c r="C115" s="201" t="s">
        <v>77</v>
      </c>
      <c r="D115" s="31">
        <f>D117+D118+D119</f>
        <v>3583.0168000000003</v>
      </c>
    </row>
    <row r="116" spans="2:4" ht="15.75">
      <c r="B116" s="3" t="s">
        <v>6</v>
      </c>
      <c r="C116" s="13"/>
      <c r="D116" s="31"/>
    </row>
    <row r="117" spans="2:4" ht="15.75">
      <c r="B117" s="3" t="s">
        <v>226</v>
      </c>
      <c r="C117" s="31">
        <v>16286.44</v>
      </c>
      <c r="D117" s="31">
        <f>C117*22%</f>
        <v>3583.0168000000003</v>
      </c>
    </row>
    <row r="118" spans="2:4" ht="15.75">
      <c r="B118" s="40" t="s">
        <v>225</v>
      </c>
      <c r="C118" s="31" t="s">
        <v>273</v>
      </c>
      <c r="D118" s="31">
        <v>0</v>
      </c>
    </row>
    <row r="119" spans="2:4" ht="78.75">
      <c r="B119" s="3" t="s">
        <v>105</v>
      </c>
      <c r="C119" s="31"/>
      <c r="D119" s="31"/>
    </row>
    <row r="120" spans="2:4" ht="47.25">
      <c r="B120" s="3" t="s">
        <v>106</v>
      </c>
      <c r="C120" s="201" t="s">
        <v>77</v>
      </c>
      <c r="D120" s="31">
        <f>D122+D123+D124+D125+D126</f>
        <v>472.30676</v>
      </c>
    </row>
    <row r="121" spans="2:4" ht="15.75">
      <c r="B121" s="3" t="s">
        <v>6</v>
      </c>
      <c r="C121" s="13"/>
      <c r="D121" s="31"/>
    </row>
    <row r="122" spans="2:4" ht="78.75">
      <c r="B122" s="3" t="s">
        <v>107</v>
      </c>
      <c r="C122" s="31">
        <f>C117</f>
        <v>16286.44</v>
      </c>
      <c r="D122" s="31">
        <f>C122*2.9%</f>
        <v>472.30676</v>
      </c>
    </row>
    <row r="123" spans="2:4" ht="63">
      <c r="B123" s="3" t="s">
        <v>108</v>
      </c>
      <c r="C123" s="31">
        <v>0</v>
      </c>
      <c r="D123" s="31">
        <f>C123*0.2%</f>
        <v>0</v>
      </c>
    </row>
    <row r="124" spans="2:4" ht="78.75">
      <c r="B124" s="3" t="s">
        <v>109</v>
      </c>
      <c r="C124" s="31"/>
      <c r="D124" s="31">
        <f>C124*0.2%</f>
        <v>0</v>
      </c>
    </row>
    <row r="125" spans="2:4" ht="78.75">
      <c r="B125" s="3" t="s">
        <v>111</v>
      </c>
      <c r="C125" s="31"/>
      <c r="D125" s="31"/>
    </row>
    <row r="126" spans="2:4" ht="78.75">
      <c r="B126" s="3" t="s">
        <v>111</v>
      </c>
      <c r="C126" s="31"/>
      <c r="D126" s="31"/>
    </row>
    <row r="127" spans="2:4" ht="78.75">
      <c r="B127" s="3" t="s">
        <v>113</v>
      </c>
      <c r="C127" s="31">
        <f>C122</f>
        <v>16286.44</v>
      </c>
      <c r="D127" s="31">
        <f>C127*5.1%</f>
        <v>830.60844</v>
      </c>
    </row>
    <row r="128" spans="2:4" ht="15.75">
      <c r="B128" s="34" t="s">
        <v>76</v>
      </c>
      <c r="C128" s="199" t="s">
        <v>77</v>
      </c>
      <c r="D128" s="37">
        <v>3918</v>
      </c>
    </row>
    <row r="129" spans="1:4" ht="15.75">
      <c r="A129" s="235" t="s">
        <v>222</v>
      </c>
      <c r="B129" s="235"/>
      <c r="C129" s="235"/>
      <c r="D129" s="235"/>
    </row>
    <row r="130" spans="1:4" ht="15.75">
      <c r="A130" s="240" t="s">
        <v>63</v>
      </c>
      <c r="B130" s="241"/>
      <c r="C130" s="234" t="s">
        <v>392</v>
      </c>
      <c r="D130" s="234"/>
    </row>
    <row r="131" spans="1:4" ht="15.75">
      <c r="A131" s="240" t="s">
        <v>64</v>
      </c>
      <c r="B131" s="241"/>
      <c r="C131" s="234" t="s">
        <v>389</v>
      </c>
      <c r="D131" s="234"/>
    </row>
    <row r="132" spans="1:4" ht="15.75">
      <c r="A132" s="239" t="s">
        <v>100</v>
      </c>
      <c r="B132" s="239"/>
      <c r="C132" s="239"/>
      <c r="D132" s="239"/>
    </row>
    <row r="133" spans="1:2" ht="15.75">
      <c r="A133" s="166"/>
      <c r="B133" s="36" t="s">
        <v>351</v>
      </c>
    </row>
    <row r="134" spans="2:4" ht="63">
      <c r="B134" s="167" t="s">
        <v>101</v>
      </c>
      <c r="C134" s="167" t="s">
        <v>102</v>
      </c>
      <c r="D134" s="167" t="s">
        <v>103</v>
      </c>
    </row>
    <row r="135" spans="2:4" ht="15.75">
      <c r="B135" s="167">
        <v>2</v>
      </c>
      <c r="C135" s="167">
        <v>3</v>
      </c>
      <c r="D135" s="167">
        <v>4</v>
      </c>
    </row>
    <row r="136" spans="2:4" ht="47.25">
      <c r="B136" s="3" t="s">
        <v>104</v>
      </c>
      <c r="C136" s="167" t="s">
        <v>77</v>
      </c>
      <c r="D136" s="31">
        <f>D138+D139+D140</f>
        <v>0</v>
      </c>
    </row>
    <row r="137" spans="2:4" ht="15.75">
      <c r="B137" s="3" t="s">
        <v>6</v>
      </c>
      <c r="C137" s="13"/>
      <c r="D137" s="31"/>
    </row>
    <row r="138" spans="2:4" ht="15.75">
      <c r="B138" s="3" t="s">
        <v>226</v>
      </c>
      <c r="C138" s="31"/>
      <c r="D138" s="31">
        <f>C138*22%</f>
        <v>0</v>
      </c>
    </row>
    <row r="139" spans="2:4" ht="15.75">
      <c r="B139" s="40" t="s">
        <v>225</v>
      </c>
      <c r="C139" s="31" t="s">
        <v>273</v>
      </c>
      <c r="D139" s="31">
        <v>0</v>
      </c>
    </row>
    <row r="140" spans="2:4" ht="78.75">
      <c r="B140" s="3" t="s">
        <v>105</v>
      </c>
      <c r="C140" s="31"/>
      <c r="D140" s="31"/>
    </row>
    <row r="141" spans="2:4" ht="47.25">
      <c r="B141" s="3" t="s">
        <v>106</v>
      </c>
      <c r="C141" s="167" t="s">
        <v>77</v>
      </c>
      <c r="D141" s="31">
        <f>D143+D144+D145+D146+D147</f>
        <v>0</v>
      </c>
    </row>
    <row r="142" spans="2:4" ht="15.75">
      <c r="B142" s="3" t="s">
        <v>6</v>
      </c>
      <c r="C142" s="13"/>
      <c r="D142" s="31"/>
    </row>
    <row r="143" spans="2:4" ht="78.75">
      <c r="B143" s="3" t="s">
        <v>107</v>
      </c>
      <c r="C143" s="31">
        <f>C138</f>
        <v>0</v>
      </c>
      <c r="D143" s="31">
        <f>C143*2.9%</f>
        <v>0</v>
      </c>
    </row>
    <row r="144" spans="2:4" ht="63">
      <c r="B144" s="3" t="s">
        <v>108</v>
      </c>
      <c r="C144" s="31">
        <v>0</v>
      </c>
      <c r="D144" s="31">
        <f>C144*0.2%</f>
        <v>0</v>
      </c>
    </row>
    <row r="145" spans="2:4" ht="78.75">
      <c r="B145" s="3" t="s">
        <v>109</v>
      </c>
      <c r="C145" s="31">
        <f>C143</f>
        <v>0</v>
      </c>
      <c r="D145" s="31">
        <f>C145*0.2%</f>
        <v>0</v>
      </c>
    </row>
    <row r="146" spans="2:4" ht="78.75">
      <c r="B146" s="3" t="s">
        <v>111</v>
      </c>
      <c r="C146" s="31"/>
      <c r="D146" s="31"/>
    </row>
    <row r="147" spans="2:4" ht="78.75">
      <c r="B147" s="3" t="s">
        <v>111</v>
      </c>
      <c r="C147" s="31"/>
      <c r="D147" s="31"/>
    </row>
    <row r="148" spans="2:4" ht="78.75">
      <c r="B148" s="3" t="s">
        <v>113</v>
      </c>
      <c r="C148" s="31">
        <f>C145</f>
        <v>0</v>
      </c>
      <c r="D148" s="31">
        <f>C148*5.1%</f>
        <v>0</v>
      </c>
    </row>
    <row r="149" spans="2:4" ht="15.75">
      <c r="B149" s="34" t="s">
        <v>76</v>
      </c>
      <c r="C149" s="168" t="s">
        <v>77</v>
      </c>
      <c r="D149" s="37"/>
    </row>
    <row r="151" spans="1:4" ht="15.75">
      <c r="A151" s="235" t="s">
        <v>222</v>
      </c>
      <c r="B151" s="235"/>
      <c r="C151" s="235"/>
      <c r="D151" s="235"/>
    </row>
    <row r="152" spans="1:4" ht="15.75">
      <c r="A152" s="240" t="s">
        <v>63</v>
      </c>
      <c r="B152" s="241"/>
      <c r="C152" s="234" t="s">
        <v>490</v>
      </c>
      <c r="D152" s="234"/>
    </row>
    <row r="153" spans="1:4" ht="15.75">
      <c r="A153" s="240" t="s">
        <v>64</v>
      </c>
      <c r="B153" s="241"/>
      <c r="C153" s="234" t="s">
        <v>488</v>
      </c>
      <c r="D153" s="234"/>
    </row>
    <row r="154" spans="1:4" ht="15.75">
      <c r="A154" s="239" t="s">
        <v>100</v>
      </c>
      <c r="B154" s="239"/>
      <c r="C154" s="239"/>
      <c r="D154" s="239"/>
    </row>
    <row r="155" spans="1:2" ht="15.75">
      <c r="A155" s="186"/>
      <c r="B155" s="36" t="s">
        <v>351</v>
      </c>
    </row>
    <row r="156" spans="2:4" ht="63">
      <c r="B156" s="187" t="s">
        <v>101</v>
      </c>
      <c r="C156" s="187" t="s">
        <v>102</v>
      </c>
      <c r="D156" s="187" t="s">
        <v>103</v>
      </c>
    </row>
    <row r="157" spans="2:4" ht="15.75">
      <c r="B157" s="187">
        <v>2</v>
      </c>
      <c r="C157" s="187">
        <v>3</v>
      </c>
      <c r="D157" s="187">
        <v>4</v>
      </c>
    </row>
    <row r="158" spans="2:4" ht="47.25">
      <c r="B158" s="3" t="s">
        <v>104</v>
      </c>
      <c r="C158" s="187" t="s">
        <v>77</v>
      </c>
      <c r="D158" s="31">
        <f>D160+D161+D162</f>
        <v>2747.1928</v>
      </c>
    </row>
    <row r="159" spans="2:4" ht="15.75">
      <c r="B159" s="3" t="s">
        <v>6</v>
      </c>
      <c r="C159" s="13"/>
      <c r="D159" s="31"/>
    </row>
    <row r="160" spans="2:4" ht="15.75">
      <c r="B160" s="3" t="s">
        <v>226</v>
      </c>
      <c r="C160" s="31">
        <v>12487.24</v>
      </c>
      <c r="D160" s="31">
        <f>C160*22%</f>
        <v>2747.1928</v>
      </c>
    </row>
    <row r="161" spans="2:4" ht="15.75">
      <c r="B161" s="40" t="s">
        <v>225</v>
      </c>
      <c r="C161" s="31" t="s">
        <v>273</v>
      </c>
      <c r="D161" s="31">
        <v>0</v>
      </c>
    </row>
    <row r="162" spans="2:4" ht="78.75">
      <c r="B162" s="3" t="s">
        <v>105</v>
      </c>
      <c r="C162" s="31"/>
      <c r="D162" s="31"/>
    </row>
    <row r="163" spans="2:4" ht="47.25">
      <c r="B163" s="3" t="s">
        <v>106</v>
      </c>
      <c r="C163" s="187" t="s">
        <v>77</v>
      </c>
      <c r="D163" s="31">
        <f>D165+D166+D167+D168+D169</f>
        <v>362.12996</v>
      </c>
    </row>
    <row r="164" spans="2:4" ht="15.75">
      <c r="B164" s="3" t="s">
        <v>6</v>
      </c>
      <c r="C164" s="13"/>
      <c r="D164" s="31"/>
    </row>
    <row r="165" spans="2:4" ht="78.75">
      <c r="B165" s="3" t="s">
        <v>107</v>
      </c>
      <c r="C165" s="31">
        <f>C160</f>
        <v>12487.24</v>
      </c>
      <c r="D165" s="31">
        <f>C165*2.9%</f>
        <v>362.12996</v>
      </c>
    </row>
    <row r="166" spans="2:4" ht="63">
      <c r="B166" s="3" t="s">
        <v>108</v>
      </c>
      <c r="C166" s="31">
        <v>0</v>
      </c>
      <c r="D166" s="31">
        <f>C166*0.2%</f>
        <v>0</v>
      </c>
    </row>
    <row r="167" spans="2:4" ht="78.75">
      <c r="B167" s="3" t="s">
        <v>109</v>
      </c>
      <c r="C167" s="31"/>
      <c r="D167" s="31">
        <f>C167*0.2%</f>
        <v>0</v>
      </c>
    </row>
    <row r="168" spans="2:4" ht="78.75">
      <c r="B168" s="3" t="s">
        <v>111</v>
      </c>
      <c r="C168" s="31"/>
      <c r="D168" s="31"/>
    </row>
    <row r="169" spans="2:4" ht="78.75">
      <c r="B169" s="3" t="s">
        <v>111</v>
      </c>
      <c r="C169" s="31"/>
      <c r="D169" s="31"/>
    </row>
    <row r="170" spans="2:4" ht="78.75">
      <c r="B170" s="3" t="s">
        <v>113</v>
      </c>
      <c r="C170" s="31">
        <v>12487.24</v>
      </c>
      <c r="D170" s="31">
        <f>C170*5.1%</f>
        <v>636.8492399999999</v>
      </c>
    </row>
    <row r="171" spans="2:4" ht="15.75">
      <c r="B171" s="34" t="s">
        <v>76</v>
      </c>
      <c r="C171" s="189" t="s">
        <v>77</v>
      </c>
      <c r="D171" s="37">
        <f>D160+D163+D170+253.45-228.47</f>
        <v>3771.152</v>
      </c>
    </row>
  </sheetData>
  <sheetProtection/>
  <mergeCells count="48">
    <mergeCell ref="A108:D108"/>
    <mergeCell ref="A109:B109"/>
    <mergeCell ref="C109:D109"/>
    <mergeCell ref="A110:B110"/>
    <mergeCell ref="C110:D110"/>
    <mergeCell ref="A111:D111"/>
    <mergeCell ref="A22:D22"/>
    <mergeCell ref="A23:B23"/>
    <mergeCell ref="C23:D23"/>
    <mergeCell ref="A24:B24"/>
    <mergeCell ref="C24:D24"/>
    <mergeCell ref="A25:D25"/>
    <mergeCell ref="A86:D86"/>
    <mergeCell ref="A87:B87"/>
    <mergeCell ref="C87:D87"/>
    <mergeCell ref="A88:B88"/>
    <mergeCell ref="C88:D88"/>
    <mergeCell ref="A89:D89"/>
    <mergeCell ref="A1:D1"/>
    <mergeCell ref="A2:B2"/>
    <mergeCell ref="C2:D2"/>
    <mergeCell ref="A3:B3"/>
    <mergeCell ref="C3:D3"/>
    <mergeCell ref="A4:D4"/>
    <mergeCell ref="A43:D43"/>
    <mergeCell ref="A44:B44"/>
    <mergeCell ref="C44:D44"/>
    <mergeCell ref="A45:B45"/>
    <mergeCell ref="C45:D45"/>
    <mergeCell ref="A46:D46"/>
    <mergeCell ref="A65:D65"/>
    <mergeCell ref="A66:B66"/>
    <mergeCell ref="C66:D66"/>
    <mergeCell ref="A67:B67"/>
    <mergeCell ref="C67:D67"/>
    <mergeCell ref="A68:D68"/>
    <mergeCell ref="A129:D129"/>
    <mergeCell ref="A130:B130"/>
    <mergeCell ref="C130:D130"/>
    <mergeCell ref="A131:B131"/>
    <mergeCell ref="C131:D131"/>
    <mergeCell ref="A132:D132"/>
    <mergeCell ref="A151:D151"/>
    <mergeCell ref="A152:B152"/>
    <mergeCell ref="C152:D152"/>
    <mergeCell ref="A153:B153"/>
    <mergeCell ref="C153:D153"/>
    <mergeCell ref="A154:D154"/>
  </mergeCells>
  <printOptions/>
  <pageMargins left="0.47" right="0.2" top="0.28" bottom="0.33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8"/>
  <sheetViews>
    <sheetView view="pageBreakPreview" zoomScale="60" zoomScalePageLayoutView="0" workbookViewId="0" topLeftCell="A241">
      <selection activeCell="E255" sqref="E255"/>
    </sheetView>
  </sheetViews>
  <sheetFormatPr defaultColWidth="9.140625" defaultRowHeight="15"/>
  <cols>
    <col min="1" max="1" width="6.8515625" style="15" customWidth="1"/>
    <col min="2" max="2" width="30.28125" style="15" customWidth="1"/>
    <col min="3" max="3" width="16.421875" style="15" customWidth="1"/>
    <col min="4" max="4" width="15.57421875" style="15" customWidth="1"/>
    <col min="5" max="5" width="15.8515625" style="15" customWidth="1"/>
    <col min="6" max="6" width="17.28125" style="15" customWidth="1"/>
    <col min="7" max="8" width="9.140625" style="15" customWidth="1"/>
    <col min="9" max="9" width="12.57421875" style="15" bestFit="1" customWidth="1"/>
    <col min="10" max="16384" width="9.140625" style="15" customWidth="1"/>
  </cols>
  <sheetData>
    <row r="1" spans="1:5" ht="15.75">
      <c r="A1" s="207" t="s">
        <v>130</v>
      </c>
      <c r="B1" s="207"/>
      <c r="C1" s="207"/>
      <c r="D1" s="207"/>
      <c r="E1" s="207"/>
    </row>
    <row r="2" spans="1:5" ht="40.5" customHeight="1">
      <c r="A2" s="240" t="s">
        <v>63</v>
      </c>
      <c r="B2" s="241"/>
      <c r="C2" s="242" t="s">
        <v>415</v>
      </c>
      <c r="D2" s="242"/>
      <c r="E2" s="242"/>
    </row>
    <row r="3" spans="1:5" ht="15.75">
      <c r="A3" s="240" t="s">
        <v>64</v>
      </c>
      <c r="B3" s="241"/>
      <c r="C3" s="234" t="s">
        <v>275</v>
      </c>
      <c r="D3" s="234"/>
      <c r="E3" s="234"/>
    </row>
    <row r="4" ht="15.75">
      <c r="A4" s="1"/>
    </row>
    <row r="5" spans="1:5" ht="47.25">
      <c r="A5" s="20" t="s">
        <v>66</v>
      </c>
      <c r="B5" s="20" t="s">
        <v>2</v>
      </c>
      <c r="C5" s="20" t="s">
        <v>131</v>
      </c>
      <c r="D5" s="20" t="s">
        <v>132</v>
      </c>
      <c r="E5" s="20" t="s">
        <v>133</v>
      </c>
    </row>
    <row r="6" spans="1:5" ht="15.75">
      <c r="A6" s="20">
        <v>1</v>
      </c>
      <c r="B6" s="20">
        <v>2</v>
      </c>
      <c r="C6" s="20">
        <v>3</v>
      </c>
      <c r="D6" s="20">
        <v>4</v>
      </c>
      <c r="E6" s="20">
        <v>5</v>
      </c>
    </row>
    <row r="7" spans="1:5" ht="15">
      <c r="A7" s="13"/>
      <c r="B7" s="13" t="s">
        <v>229</v>
      </c>
      <c r="C7" s="31">
        <v>33962.26423</v>
      </c>
      <c r="D7" s="13">
        <v>53</v>
      </c>
      <c r="E7" s="31">
        <v>1600000</v>
      </c>
    </row>
    <row r="8" spans="1:5" ht="15">
      <c r="A8" s="13"/>
      <c r="B8" s="13" t="s">
        <v>332</v>
      </c>
      <c r="C8" s="31"/>
      <c r="D8" s="13"/>
      <c r="E8" s="31"/>
    </row>
    <row r="9" spans="1:5" ht="15">
      <c r="A9" s="13"/>
      <c r="B9" s="13" t="s">
        <v>382</v>
      </c>
      <c r="C9" s="31"/>
      <c r="D9" s="13"/>
      <c r="E9" s="31">
        <v>178607.72</v>
      </c>
    </row>
    <row r="10" spans="1:5" ht="15">
      <c r="A10" s="13"/>
      <c r="B10" s="13"/>
      <c r="C10" s="31"/>
      <c r="D10" s="13"/>
      <c r="E10" s="31"/>
    </row>
    <row r="11" spans="1:5" ht="15.75">
      <c r="A11" s="13"/>
      <c r="B11" s="3" t="s">
        <v>76</v>
      </c>
      <c r="C11" s="20" t="s">
        <v>77</v>
      </c>
      <c r="D11" s="20" t="s">
        <v>77</v>
      </c>
      <c r="E11" s="31">
        <f>SUM(E7:E10)</f>
        <v>1778607.72</v>
      </c>
    </row>
    <row r="12" ht="15.75">
      <c r="A12" s="2"/>
    </row>
    <row r="13" spans="1:5" ht="15.75">
      <c r="A13" s="207" t="s">
        <v>134</v>
      </c>
      <c r="B13" s="207"/>
      <c r="C13" s="207"/>
      <c r="D13" s="207"/>
      <c r="E13" s="207"/>
    </row>
    <row r="14" spans="1:5" ht="15.75">
      <c r="A14" s="240" t="s">
        <v>63</v>
      </c>
      <c r="B14" s="241"/>
      <c r="C14" s="234" t="s">
        <v>404</v>
      </c>
      <c r="D14" s="234"/>
      <c r="E14" s="234"/>
    </row>
    <row r="15" spans="1:5" ht="15.75">
      <c r="A15" s="240" t="s">
        <v>64</v>
      </c>
      <c r="B15" s="241"/>
      <c r="C15" s="234" t="s">
        <v>275</v>
      </c>
      <c r="D15" s="234"/>
      <c r="E15" s="234"/>
    </row>
    <row r="16" spans="1:5" ht="15.75">
      <c r="A16" s="255" t="s">
        <v>135</v>
      </c>
      <c r="B16" s="255"/>
      <c r="C16" s="255"/>
      <c r="D16" s="255"/>
      <c r="E16" s="255"/>
    </row>
    <row r="17" spans="1:5" ht="121.5" customHeight="1">
      <c r="A17" s="20" t="s">
        <v>66</v>
      </c>
      <c r="B17" s="20" t="s">
        <v>79</v>
      </c>
      <c r="C17" s="20" t="s">
        <v>136</v>
      </c>
      <c r="D17" s="20" t="s">
        <v>137</v>
      </c>
      <c r="E17" s="20" t="s">
        <v>138</v>
      </c>
    </row>
    <row r="18" spans="1:5" ht="15.75">
      <c r="A18" s="20">
        <v>1</v>
      </c>
      <c r="B18" s="20">
        <v>2</v>
      </c>
      <c r="C18" s="20">
        <v>3</v>
      </c>
      <c r="D18" s="20">
        <v>4</v>
      </c>
      <c r="E18" s="20">
        <v>5</v>
      </c>
    </row>
    <row r="19" spans="1:5" ht="54.75" customHeight="1">
      <c r="A19" s="20">
        <v>1</v>
      </c>
      <c r="B19" s="3" t="s">
        <v>139</v>
      </c>
      <c r="C19" s="31">
        <f>C21</f>
        <v>34090909.09</v>
      </c>
      <c r="D19" s="13">
        <f>D21</f>
        <v>2.2</v>
      </c>
      <c r="E19" s="31">
        <f>E21</f>
        <v>803000</v>
      </c>
    </row>
    <row r="20" spans="1:5" ht="36" customHeight="1">
      <c r="A20" s="13"/>
      <c r="B20" s="3" t="s">
        <v>140</v>
      </c>
      <c r="C20" s="31"/>
      <c r="D20" s="13"/>
      <c r="E20" s="31"/>
    </row>
    <row r="21" spans="1:5" ht="15.75">
      <c r="A21" s="13"/>
      <c r="B21" s="3" t="s">
        <v>141</v>
      </c>
      <c r="C21" s="31">
        <v>34090909.09</v>
      </c>
      <c r="D21" s="13">
        <v>2.2</v>
      </c>
      <c r="E21" s="71">
        <v>803000</v>
      </c>
    </row>
    <row r="22" spans="1:5" ht="15.75">
      <c r="A22" s="13"/>
      <c r="B22" s="3" t="s">
        <v>14</v>
      </c>
      <c r="C22" s="13"/>
      <c r="D22" s="13"/>
      <c r="E22" s="31"/>
    </row>
    <row r="23" spans="1:5" ht="15.75">
      <c r="A23" s="13"/>
      <c r="B23" s="3" t="s">
        <v>142</v>
      </c>
      <c r="C23" s="13"/>
      <c r="D23" s="13"/>
      <c r="E23" s="31"/>
    </row>
    <row r="24" spans="1:5" ht="15.75">
      <c r="A24" s="13"/>
      <c r="B24" s="3" t="s">
        <v>143</v>
      </c>
      <c r="C24" s="13"/>
      <c r="D24" s="13"/>
      <c r="E24" s="31"/>
    </row>
    <row r="25" spans="1:5" ht="15.75">
      <c r="A25" s="13"/>
      <c r="B25" s="3" t="s">
        <v>14</v>
      </c>
      <c r="C25" s="13"/>
      <c r="D25" s="13"/>
      <c r="E25" s="31"/>
    </row>
    <row r="26" spans="1:5" ht="15.75">
      <c r="A26" s="13"/>
      <c r="B26" s="3" t="s">
        <v>142</v>
      </c>
      <c r="C26" s="13"/>
      <c r="D26" s="13"/>
      <c r="E26" s="31"/>
    </row>
    <row r="27" spans="1:5" ht="15">
      <c r="A27" s="13"/>
      <c r="B27" s="14"/>
      <c r="C27" s="13"/>
      <c r="D27" s="13"/>
      <c r="E27" s="31"/>
    </row>
    <row r="28" spans="1:5" ht="15">
      <c r="A28" s="13"/>
      <c r="B28" s="14"/>
      <c r="C28" s="13"/>
      <c r="D28" s="13"/>
      <c r="E28" s="31"/>
    </row>
    <row r="29" spans="1:5" ht="15.75">
      <c r="A29" s="13"/>
      <c r="B29" s="3" t="s">
        <v>76</v>
      </c>
      <c r="C29" s="13"/>
      <c r="D29" s="20" t="s">
        <v>77</v>
      </c>
      <c r="E29" s="31">
        <f>E19</f>
        <v>803000</v>
      </c>
    </row>
    <row r="30" spans="1:5" ht="15.75">
      <c r="A30" s="249" t="s">
        <v>144</v>
      </c>
      <c r="B30" s="249"/>
      <c r="C30" s="249"/>
      <c r="D30" s="249"/>
      <c r="E30" s="249"/>
    </row>
    <row r="31" spans="1:5" ht="63">
      <c r="A31" s="20" t="s">
        <v>66</v>
      </c>
      <c r="B31" s="20" t="s">
        <v>79</v>
      </c>
      <c r="C31" s="20" t="s">
        <v>145</v>
      </c>
      <c r="D31" s="20" t="s">
        <v>137</v>
      </c>
      <c r="E31" s="20" t="s">
        <v>146</v>
      </c>
    </row>
    <row r="32" spans="1:5" ht="15.75">
      <c r="A32" s="20">
        <v>1</v>
      </c>
      <c r="B32" s="20">
        <v>2</v>
      </c>
      <c r="C32" s="20">
        <v>3</v>
      </c>
      <c r="D32" s="20">
        <v>4</v>
      </c>
      <c r="E32" s="20">
        <v>5</v>
      </c>
    </row>
    <row r="33" spans="1:5" ht="15.75">
      <c r="A33" s="20">
        <v>1</v>
      </c>
      <c r="B33" s="3" t="s">
        <v>147</v>
      </c>
      <c r="C33" s="13"/>
      <c r="D33" s="13"/>
      <c r="E33" s="31"/>
    </row>
    <row r="34" spans="1:5" ht="15.75">
      <c r="A34" s="13"/>
      <c r="B34" s="3" t="s">
        <v>148</v>
      </c>
      <c r="C34" s="13"/>
      <c r="D34" s="13"/>
      <c r="E34" s="31"/>
    </row>
    <row r="35" spans="1:5" ht="15">
      <c r="A35" s="13"/>
      <c r="B35" s="14"/>
      <c r="C35" s="13"/>
      <c r="D35" s="13"/>
      <c r="E35" s="31"/>
    </row>
    <row r="36" spans="1:5" ht="15.75">
      <c r="A36" s="13"/>
      <c r="B36" s="3" t="s">
        <v>76</v>
      </c>
      <c r="C36" s="20" t="s">
        <v>77</v>
      </c>
      <c r="D36" s="20" t="s">
        <v>77</v>
      </c>
      <c r="E36" s="31">
        <f>SUM(E33:E35)</f>
        <v>0</v>
      </c>
    </row>
    <row r="37" spans="1:5" ht="15.75">
      <c r="A37" s="256" t="s">
        <v>149</v>
      </c>
      <c r="B37" s="256"/>
      <c r="C37" s="256"/>
      <c r="D37" s="256"/>
      <c r="E37" s="256"/>
    </row>
    <row r="38" spans="1:5" ht="15.75">
      <c r="A38" s="232" t="s">
        <v>63</v>
      </c>
      <c r="B38" s="233"/>
      <c r="C38" s="234"/>
      <c r="D38" s="234"/>
      <c r="E38" s="234"/>
    </row>
    <row r="39" spans="1:5" ht="15.75">
      <c r="A39" s="232" t="s">
        <v>64</v>
      </c>
      <c r="B39" s="233"/>
      <c r="C39" s="234"/>
      <c r="D39" s="234"/>
      <c r="E39" s="234"/>
    </row>
    <row r="40" ht="15.75">
      <c r="A40" s="1"/>
    </row>
    <row r="41" spans="1:5" ht="47.25">
      <c r="A41" s="20" t="s">
        <v>66</v>
      </c>
      <c r="B41" s="20" t="s">
        <v>79</v>
      </c>
      <c r="C41" s="20" t="s">
        <v>136</v>
      </c>
      <c r="D41" s="20" t="s">
        <v>137</v>
      </c>
      <c r="E41" s="20" t="s">
        <v>150</v>
      </c>
    </row>
    <row r="42" spans="1:5" ht="15.75">
      <c r="A42" s="20">
        <v>1</v>
      </c>
      <c r="B42" s="20">
        <v>2</v>
      </c>
      <c r="C42" s="20">
        <v>3</v>
      </c>
      <c r="D42" s="20">
        <v>4</v>
      </c>
      <c r="E42" s="20">
        <v>5</v>
      </c>
    </row>
    <row r="43" spans="1:5" ht="33" customHeight="1">
      <c r="A43" s="20">
        <v>1</v>
      </c>
      <c r="B43" s="3" t="s">
        <v>151</v>
      </c>
      <c r="C43" s="13"/>
      <c r="D43" s="13"/>
      <c r="E43" s="31"/>
    </row>
    <row r="44" spans="1:5" ht="31.5">
      <c r="A44" s="13"/>
      <c r="B44" s="3" t="s">
        <v>152</v>
      </c>
      <c r="C44" s="13"/>
      <c r="D44" s="13"/>
      <c r="E44" s="31"/>
    </row>
    <row r="45" spans="1:5" ht="15.75">
      <c r="A45" s="20">
        <v>2</v>
      </c>
      <c r="B45" s="3" t="s">
        <v>153</v>
      </c>
      <c r="C45" s="13"/>
      <c r="D45" s="13"/>
      <c r="E45" s="31"/>
    </row>
    <row r="46" spans="1:5" ht="15.75">
      <c r="A46" s="13"/>
      <c r="B46" s="3" t="s">
        <v>154</v>
      </c>
      <c r="C46" s="13"/>
      <c r="D46" s="13"/>
      <c r="E46" s="31"/>
    </row>
    <row r="47" spans="1:5" ht="15">
      <c r="A47" s="13"/>
      <c r="B47" s="14"/>
      <c r="C47" s="13"/>
      <c r="D47" s="13"/>
      <c r="E47" s="31"/>
    </row>
    <row r="48" spans="1:5" ht="15.75">
      <c r="A48" s="13"/>
      <c r="B48" s="3" t="s">
        <v>76</v>
      </c>
      <c r="C48" s="20" t="s">
        <v>77</v>
      </c>
      <c r="D48" s="20" t="s">
        <v>77</v>
      </c>
      <c r="E48" s="31">
        <f>SUM(E43:E47)</f>
        <v>0</v>
      </c>
    </row>
    <row r="49" spans="1:5" ht="15.75">
      <c r="A49" s="256" t="s">
        <v>277</v>
      </c>
      <c r="B49" s="256"/>
      <c r="C49" s="256"/>
      <c r="D49" s="256"/>
      <c r="E49" s="256"/>
    </row>
    <row r="50" spans="1:5" ht="54.75" customHeight="1">
      <c r="A50" s="232" t="s">
        <v>63</v>
      </c>
      <c r="B50" s="233"/>
      <c r="C50" s="242" t="s">
        <v>462</v>
      </c>
      <c r="D50" s="242"/>
      <c r="E50" s="242"/>
    </row>
    <row r="51" spans="1:5" ht="15.75">
      <c r="A51" s="232" t="s">
        <v>64</v>
      </c>
      <c r="B51" s="233"/>
      <c r="C51" s="234"/>
      <c r="D51" s="234"/>
      <c r="E51" s="234"/>
    </row>
    <row r="52" ht="15.75">
      <c r="A52" s="1"/>
    </row>
    <row r="53" spans="1:5" ht="47.25">
      <c r="A53" s="83" t="s">
        <v>66</v>
      </c>
      <c r="B53" s="83" t="s">
        <v>79</v>
      </c>
      <c r="C53" s="83" t="s">
        <v>136</v>
      </c>
      <c r="D53" s="83" t="s">
        <v>137</v>
      </c>
      <c r="E53" s="83" t="s">
        <v>150</v>
      </c>
    </row>
    <row r="54" spans="1:5" ht="15.75">
      <c r="A54" s="83">
        <v>1</v>
      </c>
      <c r="B54" s="83">
        <v>2</v>
      </c>
      <c r="C54" s="83">
        <v>3</v>
      </c>
      <c r="D54" s="83">
        <v>4</v>
      </c>
      <c r="E54" s="83">
        <v>5</v>
      </c>
    </row>
    <row r="55" spans="1:5" ht="33" customHeight="1">
      <c r="A55" s="83">
        <v>1</v>
      </c>
      <c r="B55" s="3" t="s">
        <v>278</v>
      </c>
      <c r="C55" s="13"/>
      <c r="D55" s="13"/>
      <c r="E55" s="31"/>
    </row>
    <row r="56" spans="1:5" ht="47.25">
      <c r="A56" s="13"/>
      <c r="B56" s="3" t="s">
        <v>279</v>
      </c>
      <c r="C56" s="13"/>
      <c r="D56" s="13"/>
      <c r="E56" s="31">
        <v>10000</v>
      </c>
    </row>
    <row r="57" spans="1:5" ht="15.75">
      <c r="A57" s="83"/>
      <c r="B57" s="3" t="s">
        <v>280</v>
      </c>
      <c r="C57" s="13"/>
      <c r="D57" s="13"/>
      <c r="E57" s="31">
        <v>20000</v>
      </c>
    </row>
    <row r="58" spans="1:5" ht="15.75">
      <c r="A58" s="13"/>
      <c r="B58" s="3" t="s">
        <v>334</v>
      </c>
      <c r="C58" s="13"/>
      <c r="D58" s="13"/>
      <c r="E58" s="31"/>
    </row>
    <row r="59" spans="1:5" ht="15">
      <c r="A59" s="13"/>
      <c r="B59" s="14" t="s">
        <v>458</v>
      </c>
      <c r="C59" s="13"/>
      <c r="D59" s="13"/>
      <c r="E59" s="31">
        <v>30000</v>
      </c>
    </row>
    <row r="60" spans="1:5" ht="15.75">
      <c r="A60" s="13"/>
      <c r="B60" s="3" t="s">
        <v>76</v>
      </c>
      <c r="C60" s="83" t="s">
        <v>77</v>
      </c>
      <c r="D60" s="83" t="s">
        <v>77</v>
      </c>
      <c r="E60" s="31">
        <f>SUM(E55:E59)</f>
        <v>60000</v>
      </c>
    </row>
    <row r="61" spans="1:5" ht="15.75">
      <c r="A61" s="85"/>
      <c r="B61" s="79"/>
      <c r="C61" s="86"/>
      <c r="D61" s="86"/>
      <c r="E61" s="87"/>
    </row>
    <row r="62" spans="1:5" ht="15.75">
      <c r="A62" s="229" t="s">
        <v>155</v>
      </c>
      <c r="B62" s="229"/>
      <c r="C62" s="229"/>
      <c r="D62" s="229"/>
      <c r="E62" s="229"/>
    </row>
    <row r="63" spans="1:5" ht="15.75">
      <c r="A63" s="227" t="s">
        <v>63</v>
      </c>
      <c r="B63" s="227"/>
      <c r="C63" s="231"/>
      <c r="D63" s="231"/>
      <c r="E63" s="231"/>
    </row>
    <row r="64" spans="1:5" ht="15.75">
      <c r="A64" s="227" t="s">
        <v>64</v>
      </c>
      <c r="B64" s="227"/>
      <c r="C64" s="231"/>
      <c r="D64" s="231"/>
      <c r="E64" s="231"/>
    </row>
    <row r="65" ht="15.75">
      <c r="A65" s="1"/>
    </row>
    <row r="66" spans="1:5" ht="47.25">
      <c r="A66" s="20" t="s">
        <v>66</v>
      </c>
      <c r="B66" s="20" t="s">
        <v>2</v>
      </c>
      <c r="C66" s="20" t="s">
        <v>131</v>
      </c>
      <c r="D66" s="20" t="s">
        <v>132</v>
      </c>
      <c r="E66" s="20" t="s">
        <v>133</v>
      </c>
    </row>
    <row r="67" spans="1:5" ht="15.75">
      <c r="A67" s="20">
        <v>1</v>
      </c>
      <c r="B67" s="20">
        <v>2</v>
      </c>
      <c r="C67" s="20">
        <v>3</v>
      </c>
      <c r="D67" s="20">
        <v>4</v>
      </c>
      <c r="E67" s="20">
        <v>5</v>
      </c>
    </row>
    <row r="68" spans="1:5" ht="15">
      <c r="A68" s="13"/>
      <c r="B68" s="13"/>
      <c r="C68" s="13"/>
      <c r="D68" s="13"/>
      <c r="E68" s="31"/>
    </row>
    <row r="69" spans="1:5" ht="15">
      <c r="A69" s="13"/>
      <c r="B69" s="13"/>
      <c r="C69" s="13"/>
      <c r="D69" s="13"/>
      <c r="E69" s="31"/>
    </row>
    <row r="70" spans="1:5" ht="15">
      <c r="A70" s="13"/>
      <c r="B70" s="13"/>
      <c r="C70" s="13"/>
      <c r="D70" s="13"/>
      <c r="E70" s="31"/>
    </row>
    <row r="71" spans="1:5" ht="15.75">
      <c r="A71" s="13"/>
      <c r="B71" s="3" t="s">
        <v>76</v>
      </c>
      <c r="C71" s="20" t="s">
        <v>77</v>
      </c>
      <c r="D71" s="20" t="s">
        <v>77</v>
      </c>
      <c r="E71" s="31">
        <f>SUM(E68:E70)</f>
        <v>0</v>
      </c>
    </row>
    <row r="72" ht="15.75">
      <c r="A72" s="2"/>
    </row>
    <row r="73" spans="1:5" ht="33" customHeight="1">
      <c r="A73" s="251" t="s">
        <v>221</v>
      </c>
      <c r="B73" s="251"/>
      <c r="C73" s="251"/>
      <c r="D73" s="251"/>
      <c r="E73" s="251"/>
    </row>
    <row r="74" spans="1:5" ht="15.75">
      <c r="A74" s="227" t="s">
        <v>63</v>
      </c>
      <c r="B74" s="227"/>
      <c r="C74" s="231"/>
      <c r="D74" s="231"/>
      <c r="E74" s="231"/>
    </row>
    <row r="75" spans="1:5" ht="15.75">
      <c r="A75" s="227" t="s">
        <v>64</v>
      </c>
      <c r="B75" s="227"/>
      <c r="C75" s="231"/>
      <c r="D75" s="231"/>
      <c r="E75" s="231"/>
    </row>
    <row r="76" ht="15.75">
      <c r="A76" s="1"/>
    </row>
    <row r="77" spans="1:5" ht="47.25">
      <c r="A77" s="20" t="s">
        <v>66</v>
      </c>
      <c r="B77" s="20" t="s">
        <v>2</v>
      </c>
      <c r="C77" s="20" t="s">
        <v>131</v>
      </c>
      <c r="D77" s="20" t="s">
        <v>132</v>
      </c>
      <c r="E77" s="20" t="s">
        <v>133</v>
      </c>
    </row>
    <row r="78" spans="1:5" ht="15.75">
      <c r="A78" s="20">
        <v>1</v>
      </c>
      <c r="B78" s="20">
        <v>2</v>
      </c>
      <c r="C78" s="20">
        <v>3</v>
      </c>
      <c r="D78" s="20">
        <v>4</v>
      </c>
      <c r="E78" s="20">
        <v>5</v>
      </c>
    </row>
    <row r="79" spans="1:5" ht="47.25">
      <c r="A79" s="20">
        <v>1</v>
      </c>
      <c r="B79" s="3" t="s">
        <v>156</v>
      </c>
      <c r="C79" s="13"/>
      <c r="D79" s="13"/>
      <c r="E79" s="31"/>
    </row>
    <row r="80" spans="1:5" ht="15">
      <c r="A80" s="13"/>
      <c r="B80" s="14"/>
      <c r="C80" s="13"/>
      <c r="D80" s="13"/>
      <c r="E80" s="31"/>
    </row>
    <row r="81" spans="1:5" ht="15">
      <c r="A81" s="13"/>
      <c r="B81" s="14"/>
      <c r="C81" s="13"/>
      <c r="D81" s="13"/>
      <c r="E81" s="31"/>
    </row>
    <row r="82" spans="1:5" ht="15">
      <c r="A82" s="13"/>
      <c r="B82" s="14"/>
      <c r="C82" s="13"/>
      <c r="D82" s="13"/>
      <c r="E82" s="31"/>
    </row>
    <row r="83" spans="1:5" ht="15.75">
      <c r="A83" s="13"/>
      <c r="B83" s="3" t="s">
        <v>76</v>
      </c>
      <c r="C83" s="20" t="s">
        <v>77</v>
      </c>
      <c r="D83" s="20" t="s">
        <v>77</v>
      </c>
      <c r="E83" s="31">
        <f>SUM(E79:E82)</f>
        <v>0</v>
      </c>
    </row>
    <row r="84" ht="15.75">
      <c r="A84" s="2"/>
    </row>
    <row r="85" spans="1:5" ht="15.75">
      <c r="A85" s="255" t="s">
        <v>202</v>
      </c>
      <c r="B85" s="255"/>
      <c r="C85" s="255"/>
      <c r="D85" s="255"/>
      <c r="E85" s="255"/>
    </row>
    <row r="86" spans="1:5" ht="15.75">
      <c r="A86" s="212" t="s">
        <v>63</v>
      </c>
      <c r="B86" s="212"/>
      <c r="C86" s="234" t="s">
        <v>395</v>
      </c>
      <c r="D86" s="234"/>
      <c r="E86" s="234"/>
    </row>
    <row r="87" spans="1:5" ht="15.75">
      <c r="A87" s="212" t="s">
        <v>64</v>
      </c>
      <c r="B87" s="212"/>
      <c r="C87" s="234" t="s">
        <v>275</v>
      </c>
      <c r="D87" s="234"/>
      <c r="E87" s="234"/>
    </row>
    <row r="88" spans="1:6" ht="15.75">
      <c r="A88" s="255" t="s">
        <v>157</v>
      </c>
      <c r="B88" s="255"/>
      <c r="C88" s="255"/>
      <c r="D88" s="255"/>
      <c r="E88" s="255"/>
      <c r="F88" s="255"/>
    </row>
    <row r="89" spans="1:6" ht="47.25">
      <c r="A89" s="20" t="s">
        <v>66</v>
      </c>
      <c r="B89" s="20" t="s">
        <v>79</v>
      </c>
      <c r="C89" s="20" t="s">
        <v>158</v>
      </c>
      <c r="D89" s="20" t="s">
        <v>159</v>
      </c>
      <c r="E89" s="20" t="s">
        <v>160</v>
      </c>
      <c r="F89" s="20" t="s">
        <v>83</v>
      </c>
    </row>
    <row r="90" spans="1:6" ht="15.75">
      <c r="A90" s="20">
        <v>1</v>
      </c>
      <c r="B90" s="20">
        <v>2</v>
      </c>
      <c r="C90" s="20">
        <v>3</v>
      </c>
      <c r="D90" s="20">
        <v>4</v>
      </c>
      <c r="E90" s="20">
        <v>5</v>
      </c>
      <c r="F90" s="20">
        <v>6</v>
      </c>
    </row>
    <row r="91" spans="1:6" ht="15.75">
      <c r="A91" s="69"/>
      <c r="B91" s="70" t="s">
        <v>161</v>
      </c>
      <c r="C91" s="69">
        <v>8</v>
      </c>
      <c r="D91" s="69">
        <v>12</v>
      </c>
      <c r="E91" s="69">
        <v>1162.5</v>
      </c>
      <c r="F91" s="71">
        <f>C91*D91*E91</f>
        <v>111600</v>
      </c>
    </row>
    <row r="92" spans="1:6" ht="63">
      <c r="A92" s="69"/>
      <c r="B92" s="70" t="s">
        <v>162</v>
      </c>
      <c r="C92" s="69">
        <v>2</v>
      </c>
      <c r="D92" s="69">
        <v>12</v>
      </c>
      <c r="E92" s="69">
        <v>800</v>
      </c>
      <c r="F92" s="71">
        <f>C92*D92*E92</f>
        <v>19200</v>
      </c>
    </row>
    <row r="93" spans="1:6" ht="31.5">
      <c r="A93" s="69"/>
      <c r="B93" s="70" t="s">
        <v>163</v>
      </c>
      <c r="C93" s="69"/>
      <c r="D93" s="69"/>
      <c r="E93" s="69"/>
      <c r="F93" s="71"/>
    </row>
    <row r="94" spans="1:6" ht="63">
      <c r="A94" s="69"/>
      <c r="B94" s="70" t="s">
        <v>164</v>
      </c>
      <c r="C94" s="69"/>
      <c r="D94" s="69"/>
      <c r="E94" s="69"/>
      <c r="F94" s="71"/>
    </row>
    <row r="95" spans="1:6" ht="63">
      <c r="A95" s="13"/>
      <c r="B95" s="3" t="s">
        <v>165</v>
      </c>
      <c r="C95" s="13"/>
      <c r="D95" s="13"/>
      <c r="E95" s="13"/>
      <c r="F95" s="31"/>
    </row>
    <row r="96" spans="1:6" ht="31.5">
      <c r="A96" s="13"/>
      <c r="B96" s="3" t="s">
        <v>166</v>
      </c>
      <c r="C96" s="13"/>
      <c r="D96" s="13"/>
      <c r="E96" s="13"/>
      <c r="F96" s="31"/>
    </row>
    <row r="97" spans="1:6" ht="31.5">
      <c r="A97" s="13"/>
      <c r="B97" s="3" t="s">
        <v>167</v>
      </c>
      <c r="C97" s="13">
        <v>3</v>
      </c>
      <c r="D97" s="13">
        <v>12</v>
      </c>
      <c r="E97" s="13">
        <v>9000</v>
      </c>
      <c r="F97" s="31">
        <f>C97*D97*E97</f>
        <v>324000</v>
      </c>
    </row>
    <row r="98" spans="1:6" ht="31.5">
      <c r="A98" s="13"/>
      <c r="B98" s="3" t="s">
        <v>168</v>
      </c>
      <c r="C98" s="13"/>
      <c r="D98" s="13"/>
      <c r="E98" s="13"/>
      <c r="F98" s="31"/>
    </row>
    <row r="99" spans="1:6" ht="15">
      <c r="A99" s="13"/>
      <c r="B99" s="14"/>
      <c r="C99" s="13"/>
      <c r="D99" s="13"/>
      <c r="E99" s="13"/>
      <c r="F99" s="31"/>
    </row>
    <row r="100" spans="1:6" ht="15">
      <c r="A100" s="13"/>
      <c r="B100" s="14"/>
      <c r="C100" s="13"/>
      <c r="D100" s="13"/>
      <c r="E100" s="13"/>
      <c r="F100" s="31"/>
    </row>
    <row r="101" spans="1:6" ht="15.75">
      <c r="A101" s="13"/>
      <c r="B101" s="3" t="s">
        <v>76</v>
      </c>
      <c r="C101" s="20" t="s">
        <v>77</v>
      </c>
      <c r="D101" s="20" t="s">
        <v>77</v>
      </c>
      <c r="E101" s="20" t="s">
        <v>77</v>
      </c>
      <c r="F101" s="170">
        <f>SUM(F91:F100)-1800</f>
        <v>453000</v>
      </c>
    </row>
    <row r="102" ht="15.75">
      <c r="A102" s="2"/>
    </row>
    <row r="103" spans="1:6" ht="23.25" customHeight="1">
      <c r="A103" s="112"/>
      <c r="B103" s="113"/>
      <c r="C103" s="114"/>
      <c r="D103" s="114"/>
      <c r="E103" s="114"/>
      <c r="F103" s="87"/>
    </row>
    <row r="104" spans="1:5" ht="36.75" customHeight="1">
      <c r="A104" s="245" t="s">
        <v>169</v>
      </c>
      <c r="B104" s="245"/>
      <c r="C104" s="245"/>
      <c r="D104" s="245"/>
      <c r="E104" s="245"/>
    </row>
    <row r="105" spans="1:5" ht="31.5" customHeight="1">
      <c r="A105" s="253" t="s">
        <v>63</v>
      </c>
      <c r="B105" s="254"/>
      <c r="C105" s="246" t="s">
        <v>517</v>
      </c>
      <c r="D105" s="257"/>
      <c r="E105" s="247"/>
    </row>
    <row r="106" spans="1:5" ht="15.75" customHeight="1">
      <c r="A106" s="253" t="s">
        <v>64</v>
      </c>
      <c r="B106" s="254"/>
      <c r="C106" s="243" t="s">
        <v>275</v>
      </c>
      <c r="D106" s="258"/>
      <c r="E106" s="244"/>
    </row>
    <row r="107" spans="1:5" ht="15.75">
      <c r="A107" s="249" t="s">
        <v>170</v>
      </c>
      <c r="B107" s="249"/>
      <c r="C107" s="249"/>
      <c r="D107" s="249"/>
      <c r="E107" s="249"/>
    </row>
    <row r="108" spans="1:5" ht="47.25">
      <c r="A108" s="93" t="s">
        <v>66</v>
      </c>
      <c r="B108" s="93" t="s">
        <v>79</v>
      </c>
      <c r="C108" s="93" t="s">
        <v>171</v>
      </c>
      <c r="D108" s="93" t="s">
        <v>172</v>
      </c>
      <c r="E108" s="93" t="s">
        <v>173</v>
      </c>
    </row>
    <row r="109" spans="1:5" ht="15.75">
      <c r="A109" s="93">
        <v>1</v>
      </c>
      <c r="B109" s="93">
        <v>2</v>
      </c>
      <c r="C109" s="93">
        <v>3</v>
      </c>
      <c r="D109" s="93">
        <v>4</v>
      </c>
      <c r="E109" s="93">
        <v>5</v>
      </c>
    </row>
    <row r="110" spans="1:5" ht="47.25">
      <c r="A110" s="13"/>
      <c r="B110" s="3" t="s">
        <v>174</v>
      </c>
      <c r="C110" s="13">
        <v>30</v>
      </c>
      <c r="D110" s="31">
        <v>10000</v>
      </c>
      <c r="E110" s="31">
        <f>C110*D110</f>
        <v>300000</v>
      </c>
    </row>
    <row r="111" spans="1:5" ht="15.75">
      <c r="A111" s="13"/>
      <c r="B111" s="3" t="s">
        <v>235</v>
      </c>
      <c r="C111" s="13">
        <v>116</v>
      </c>
      <c r="D111" s="31">
        <v>5000</v>
      </c>
      <c r="E111" s="31">
        <f>C111*D111</f>
        <v>580000</v>
      </c>
    </row>
    <row r="112" spans="1:5" ht="15.75">
      <c r="A112" s="13"/>
      <c r="B112" s="3" t="s">
        <v>235</v>
      </c>
      <c r="C112" s="13"/>
      <c r="D112" s="31"/>
      <c r="E112" s="31">
        <v>72679.88</v>
      </c>
    </row>
    <row r="113" spans="1:5" ht="15">
      <c r="A113" s="13"/>
      <c r="B113" s="14"/>
      <c r="C113" s="13"/>
      <c r="D113" s="31"/>
      <c r="E113" s="31"/>
    </row>
    <row r="114" spans="1:5" ht="15.75">
      <c r="A114" s="13"/>
      <c r="B114" s="3" t="s">
        <v>76</v>
      </c>
      <c r="C114" s="13"/>
      <c r="D114" s="13"/>
      <c r="E114" s="31">
        <f>SUM(E110:E113)</f>
        <v>952679.88</v>
      </c>
    </row>
    <row r="115" ht="15.75">
      <c r="A115" s="2"/>
    </row>
    <row r="116" spans="1:6" ht="15.75">
      <c r="A116" s="229" t="s">
        <v>175</v>
      </c>
      <c r="B116" s="229"/>
      <c r="C116" s="229"/>
      <c r="D116" s="229"/>
      <c r="E116" s="229"/>
      <c r="F116" s="229"/>
    </row>
    <row r="117" spans="1:6" ht="15.75">
      <c r="A117" s="227" t="s">
        <v>63</v>
      </c>
      <c r="B117" s="227"/>
      <c r="C117" s="231" t="s">
        <v>397</v>
      </c>
      <c r="D117" s="231"/>
      <c r="E117" s="231"/>
      <c r="F117" s="231"/>
    </row>
    <row r="118" spans="1:6" ht="15.75">
      <c r="A118" s="227" t="s">
        <v>64</v>
      </c>
      <c r="B118" s="227"/>
      <c r="C118" s="234" t="s">
        <v>275</v>
      </c>
      <c r="D118" s="234"/>
      <c r="E118" s="234"/>
      <c r="F118" s="234"/>
    </row>
    <row r="119" spans="1:6" ht="15.75">
      <c r="A119" s="249" t="s">
        <v>176</v>
      </c>
      <c r="B119" s="249"/>
      <c r="C119" s="249"/>
      <c r="D119" s="249"/>
      <c r="E119" s="249"/>
      <c r="F119" s="249"/>
    </row>
    <row r="120" spans="1:6" ht="47.25">
      <c r="A120" s="20" t="s">
        <v>66</v>
      </c>
      <c r="B120" s="20" t="s">
        <v>2</v>
      </c>
      <c r="C120" s="20" t="s">
        <v>177</v>
      </c>
      <c r="D120" s="20" t="s">
        <v>178</v>
      </c>
      <c r="E120" s="20" t="s">
        <v>179</v>
      </c>
      <c r="F120" s="20" t="s">
        <v>180</v>
      </c>
    </row>
    <row r="121" spans="1:6" ht="15.75">
      <c r="A121" s="20">
        <v>1</v>
      </c>
      <c r="B121" s="20">
        <v>2</v>
      </c>
      <c r="C121" s="20">
        <v>4</v>
      </c>
      <c r="D121" s="20">
        <v>5</v>
      </c>
      <c r="E121" s="20">
        <v>6</v>
      </c>
      <c r="F121" s="20">
        <v>6</v>
      </c>
    </row>
    <row r="122" spans="1:6" ht="15.75">
      <c r="A122" s="13"/>
      <c r="B122" s="3" t="s">
        <v>181</v>
      </c>
      <c r="C122" s="13">
        <f>C123</f>
        <v>88903.33</v>
      </c>
      <c r="D122" s="50">
        <f>D123</f>
        <v>3.8103</v>
      </c>
      <c r="E122" s="67">
        <v>0.15</v>
      </c>
      <c r="F122" s="31">
        <f>F123</f>
        <v>338750.68204385</v>
      </c>
    </row>
    <row r="123" spans="1:6" ht="15.75">
      <c r="A123" s="13"/>
      <c r="B123" s="3" t="s">
        <v>182</v>
      </c>
      <c r="C123" s="13">
        <v>88903.33</v>
      </c>
      <c r="D123" s="50">
        <v>3.8103</v>
      </c>
      <c r="E123" s="67">
        <v>0.15</v>
      </c>
      <c r="F123" s="31">
        <f>C123*D123+(C123*D123*E123)-50809.93</f>
        <v>338750.68204385</v>
      </c>
    </row>
    <row r="124" spans="1:6" ht="15">
      <c r="A124" s="13"/>
      <c r="B124" s="14"/>
      <c r="C124" s="68"/>
      <c r="D124" s="68"/>
      <c r="E124" s="68"/>
      <c r="F124" s="68"/>
    </row>
    <row r="125" spans="1:6" ht="15">
      <c r="A125" s="13"/>
      <c r="B125" s="14"/>
      <c r="C125" s="13"/>
      <c r="D125" s="13"/>
      <c r="E125" s="13"/>
      <c r="F125" s="31"/>
    </row>
    <row r="126" spans="1:6" ht="15.75">
      <c r="A126" s="13"/>
      <c r="B126" s="3" t="s">
        <v>183</v>
      </c>
      <c r="C126" s="50">
        <f>C127</f>
        <v>770.99</v>
      </c>
      <c r="D126" s="50">
        <f>D127</f>
        <v>9265.773</v>
      </c>
      <c r="E126" s="67">
        <v>0.15</v>
      </c>
      <c r="F126" s="31">
        <f>F127</f>
        <v>7143818.334060499</v>
      </c>
    </row>
    <row r="127" spans="1:6" ht="15.75">
      <c r="A127" s="13"/>
      <c r="B127" s="3" t="s">
        <v>182</v>
      </c>
      <c r="C127" s="50">
        <v>770.99</v>
      </c>
      <c r="D127" s="13">
        <v>9265.773</v>
      </c>
      <c r="E127" s="67">
        <v>0.15</v>
      </c>
      <c r="F127" s="31">
        <f>C127*D127+(C127*D127*E127)-1071572.74</f>
        <v>7143818.334060499</v>
      </c>
    </row>
    <row r="128" spans="1:6" ht="15">
      <c r="A128" s="13"/>
      <c r="B128" s="14"/>
      <c r="C128" s="13"/>
      <c r="D128" s="13"/>
      <c r="E128" s="13"/>
      <c r="F128" s="31"/>
    </row>
    <row r="129" spans="1:6" ht="15">
      <c r="A129" s="13"/>
      <c r="B129" s="14"/>
      <c r="C129" s="13"/>
      <c r="D129" s="13"/>
      <c r="E129" s="13"/>
      <c r="F129" s="31"/>
    </row>
    <row r="130" spans="1:6" ht="31.5">
      <c r="A130" s="13"/>
      <c r="B130" s="3" t="s">
        <v>184</v>
      </c>
      <c r="C130" s="50">
        <f>C131</f>
        <v>619.14</v>
      </c>
      <c r="D130" s="13">
        <f>D131</f>
        <v>602.7322</v>
      </c>
      <c r="E130" s="67">
        <v>0.15</v>
      </c>
      <c r="F130" s="31">
        <f>F131</f>
        <v>373175.60645420005</v>
      </c>
    </row>
    <row r="131" spans="1:6" ht="15.75">
      <c r="A131" s="13"/>
      <c r="B131" s="3" t="s">
        <v>182</v>
      </c>
      <c r="C131" s="50">
        <v>619.14</v>
      </c>
      <c r="D131" s="13">
        <v>602.7322</v>
      </c>
      <c r="E131" s="67">
        <v>0.15</v>
      </c>
      <c r="F131" s="31">
        <f>C131*D131+(C131*D131*E131)-55976.35</f>
        <v>373175.60645420005</v>
      </c>
    </row>
    <row r="132" spans="1:6" ht="15">
      <c r="A132" s="13"/>
      <c r="B132" s="14"/>
      <c r="C132" s="13"/>
      <c r="D132" s="13"/>
      <c r="E132" s="13"/>
      <c r="F132" s="31"/>
    </row>
    <row r="133" spans="1:6" ht="15">
      <c r="A133" s="13"/>
      <c r="B133" s="14"/>
      <c r="C133" s="13"/>
      <c r="D133" s="13"/>
      <c r="E133" s="13"/>
      <c r="F133" s="31"/>
    </row>
    <row r="134" spans="1:6" ht="28.5" customHeight="1">
      <c r="A134" s="13"/>
      <c r="B134" s="3" t="s">
        <v>257</v>
      </c>
      <c r="C134" s="50">
        <f>C135</f>
        <v>1333.72</v>
      </c>
      <c r="D134" s="13">
        <f>D135</f>
        <v>117.469</v>
      </c>
      <c r="E134" s="67">
        <v>0.15</v>
      </c>
      <c r="F134" s="31">
        <f>F135</f>
        <v>156670.747882</v>
      </c>
    </row>
    <row r="135" spans="1:6" ht="15.75">
      <c r="A135" s="13"/>
      <c r="B135" s="3" t="s">
        <v>182</v>
      </c>
      <c r="C135" s="50">
        <v>1333.72</v>
      </c>
      <c r="D135" s="13">
        <v>117.469</v>
      </c>
      <c r="E135" s="67">
        <v>0.15</v>
      </c>
      <c r="F135" s="31">
        <f>C135*D135+(C135*D135*E135)-23500.62</f>
        <v>156670.747882</v>
      </c>
    </row>
    <row r="136" spans="1:6" ht="15">
      <c r="A136" s="13"/>
      <c r="B136" s="14"/>
      <c r="C136" s="13"/>
      <c r="D136" s="13"/>
      <c r="E136" s="13"/>
      <c r="F136" s="31"/>
    </row>
    <row r="137" spans="1:6" ht="15">
      <c r="A137" s="13"/>
      <c r="B137" s="14"/>
      <c r="C137" s="13"/>
      <c r="D137" s="13"/>
      <c r="E137" s="13"/>
      <c r="F137" s="31"/>
    </row>
    <row r="138" spans="1:6" ht="15.75">
      <c r="A138" s="13"/>
      <c r="B138" s="3" t="s">
        <v>185</v>
      </c>
      <c r="C138" s="50">
        <f>C139</f>
        <v>1952.86</v>
      </c>
      <c r="D138" s="13">
        <f>D139</f>
        <v>104.4064</v>
      </c>
      <c r="E138" s="67">
        <v>0.15</v>
      </c>
      <c r="F138" s="31">
        <f>F139</f>
        <v>203891.07464960002</v>
      </c>
    </row>
    <row r="139" spans="1:6" ht="15.75">
      <c r="A139" s="13"/>
      <c r="B139" s="3" t="s">
        <v>182</v>
      </c>
      <c r="C139" s="50">
        <v>1952.86</v>
      </c>
      <c r="D139" s="13">
        <v>104.4064</v>
      </c>
      <c r="E139" s="67">
        <v>0.15</v>
      </c>
      <c r="F139" s="31">
        <f>C139*D139+(C139*D139*E139)-30583.67</f>
        <v>203891.07464960002</v>
      </c>
    </row>
    <row r="140" spans="1:6" ht="15">
      <c r="A140" s="13"/>
      <c r="B140" s="14"/>
      <c r="C140" s="13"/>
      <c r="D140" s="13"/>
      <c r="E140" s="13"/>
      <c r="F140" s="31"/>
    </row>
    <row r="141" spans="1:6" ht="15">
      <c r="A141" s="13"/>
      <c r="B141" s="14"/>
      <c r="C141" s="13"/>
      <c r="D141" s="13"/>
      <c r="E141" s="13"/>
      <c r="F141" s="31"/>
    </row>
    <row r="142" spans="1:6" ht="15">
      <c r="A142" s="13"/>
      <c r="B142" s="14"/>
      <c r="C142" s="13"/>
      <c r="D142" s="13"/>
      <c r="E142" s="13"/>
      <c r="F142" s="31"/>
    </row>
    <row r="143" spans="1:6" ht="15.75">
      <c r="A143" s="13"/>
      <c r="B143" s="3" t="s">
        <v>76</v>
      </c>
      <c r="C143" s="20" t="s">
        <v>77</v>
      </c>
      <c r="D143" s="20" t="s">
        <v>77</v>
      </c>
      <c r="E143" s="20" t="s">
        <v>77</v>
      </c>
      <c r="F143" s="71">
        <f>F122+F126+F130+F134+F138+2.38</f>
        <v>8216308.82509015</v>
      </c>
    </row>
    <row r="144" ht="15.75">
      <c r="A144" s="19"/>
    </row>
    <row r="145" ht="15.75">
      <c r="A145" s="19"/>
    </row>
    <row r="146" spans="1:5" ht="15.75">
      <c r="A146" s="229" t="s">
        <v>169</v>
      </c>
      <c r="B146" s="229"/>
      <c r="C146" s="229"/>
      <c r="D146" s="229"/>
      <c r="E146" s="229"/>
    </row>
    <row r="147" spans="1:5" ht="60" customHeight="1">
      <c r="A147" s="212" t="s">
        <v>63</v>
      </c>
      <c r="B147" s="212"/>
      <c r="C147" s="242" t="s">
        <v>497</v>
      </c>
      <c r="D147" s="242"/>
      <c r="E147" s="242"/>
    </row>
    <row r="148" spans="1:5" ht="15.75">
      <c r="A148" s="212" t="s">
        <v>64</v>
      </c>
      <c r="B148" s="212"/>
      <c r="C148" s="234" t="s">
        <v>275</v>
      </c>
      <c r="D148" s="234"/>
      <c r="E148" s="234"/>
    </row>
    <row r="149" spans="1:5" ht="37.5" customHeight="1">
      <c r="A149" s="259" t="s">
        <v>187</v>
      </c>
      <c r="B149" s="259"/>
      <c r="C149" s="259"/>
      <c r="D149" s="259"/>
      <c r="E149" s="259"/>
    </row>
    <row r="150" spans="1:5" ht="47.25">
      <c r="A150" s="20" t="s">
        <v>66</v>
      </c>
      <c r="B150" s="20" t="s">
        <v>79</v>
      </c>
      <c r="C150" s="20" t="s">
        <v>188</v>
      </c>
      <c r="D150" s="20" t="s">
        <v>189</v>
      </c>
      <c r="E150" s="20" t="s">
        <v>190</v>
      </c>
    </row>
    <row r="151" spans="1:5" ht="15.75">
      <c r="A151" s="20">
        <v>1</v>
      </c>
      <c r="B151" s="20">
        <v>2</v>
      </c>
      <c r="C151" s="20">
        <v>3</v>
      </c>
      <c r="D151" s="20">
        <v>4</v>
      </c>
      <c r="E151" s="20">
        <v>5</v>
      </c>
    </row>
    <row r="152" spans="1:5" ht="47.25">
      <c r="A152" s="80">
        <v>1</v>
      </c>
      <c r="B152" s="70" t="s">
        <v>191</v>
      </c>
      <c r="C152" s="80" t="s">
        <v>77</v>
      </c>
      <c r="D152" s="80" t="s">
        <v>77</v>
      </c>
      <c r="E152" s="71"/>
    </row>
    <row r="153" spans="1:5" ht="15.75">
      <c r="A153" s="81"/>
      <c r="B153" s="70" t="s">
        <v>6</v>
      </c>
      <c r="C153" s="69"/>
      <c r="D153" s="69"/>
      <c r="E153" s="71"/>
    </row>
    <row r="154" spans="1:5" ht="15.75">
      <c r="A154" s="81"/>
      <c r="B154" s="70" t="s">
        <v>192</v>
      </c>
      <c r="C154" s="69"/>
      <c r="D154" s="69"/>
      <c r="E154" s="71"/>
    </row>
    <row r="155" spans="1:5" ht="47.25">
      <c r="A155" s="81"/>
      <c r="B155" s="70" t="s">
        <v>193</v>
      </c>
      <c r="C155" s="69">
        <v>1</v>
      </c>
      <c r="D155" s="69">
        <v>1</v>
      </c>
      <c r="E155" s="71">
        <v>20000</v>
      </c>
    </row>
    <row r="156" spans="1:5" ht="31.5">
      <c r="A156" s="81"/>
      <c r="B156" s="70" t="s">
        <v>194</v>
      </c>
      <c r="C156" s="69">
        <v>1</v>
      </c>
      <c r="D156" s="69">
        <v>1</v>
      </c>
      <c r="E156" s="71">
        <v>35000</v>
      </c>
    </row>
    <row r="157" spans="1:5" ht="63">
      <c r="A157" s="14"/>
      <c r="B157" s="3" t="s">
        <v>195</v>
      </c>
      <c r="C157" s="13">
        <v>1</v>
      </c>
      <c r="D157" s="13">
        <v>1</v>
      </c>
      <c r="E157" s="31">
        <v>225000</v>
      </c>
    </row>
    <row r="158" spans="1:5" ht="15">
      <c r="A158" s="14"/>
      <c r="B158" s="14" t="s">
        <v>366</v>
      </c>
      <c r="C158" s="13"/>
      <c r="D158" s="13"/>
      <c r="E158" s="31">
        <v>2080742</v>
      </c>
    </row>
    <row r="159" spans="1:5" ht="47.25">
      <c r="A159" s="20">
        <v>2</v>
      </c>
      <c r="B159" s="3" t="s">
        <v>196</v>
      </c>
      <c r="C159" s="20" t="s">
        <v>77</v>
      </c>
      <c r="D159" s="20" t="s">
        <v>77</v>
      </c>
      <c r="E159" s="31"/>
    </row>
    <row r="160" spans="1:5" ht="15.75">
      <c r="A160" s="14"/>
      <c r="B160" s="3" t="s">
        <v>6</v>
      </c>
      <c r="C160" s="13"/>
      <c r="D160" s="13"/>
      <c r="E160" s="31"/>
    </row>
    <row r="161" spans="1:5" ht="47.25">
      <c r="A161" s="14"/>
      <c r="B161" s="3" t="s">
        <v>197</v>
      </c>
      <c r="C161" s="13"/>
      <c r="D161" s="13"/>
      <c r="E161" s="31"/>
    </row>
    <row r="162" spans="1:5" ht="15.75">
      <c r="A162" s="14"/>
      <c r="B162" s="3" t="s">
        <v>198</v>
      </c>
      <c r="C162" s="13"/>
      <c r="D162" s="13"/>
      <c r="E162" s="31"/>
    </row>
    <row r="163" spans="1:5" ht="31.5">
      <c r="A163" s="20">
        <v>3</v>
      </c>
      <c r="B163" s="3" t="s">
        <v>199</v>
      </c>
      <c r="C163" s="20" t="s">
        <v>77</v>
      </c>
      <c r="D163" s="20" t="s">
        <v>77</v>
      </c>
      <c r="E163" s="31"/>
    </row>
    <row r="164" spans="1:5" ht="15.75">
      <c r="A164" s="14"/>
      <c r="B164" s="3" t="s">
        <v>6</v>
      </c>
      <c r="C164" s="13"/>
      <c r="D164" s="13"/>
      <c r="E164" s="31"/>
    </row>
    <row r="165" spans="1:5" ht="63">
      <c r="A165" s="14"/>
      <c r="B165" s="3" t="s">
        <v>200</v>
      </c>
      <c r="C165" s="13"/>
      <c r="D165" s="13"/>
      <c r="E165" s="31"/>
    </row>
    <row r="166" spans="1:5" ht="78.75">
      <c r="A166" s="14"/>
      <c r="B166" s="3" t="s">
        <v>201</v>
      </c>
      <c r="C166" s="13"/>
      <c r="D166" s="13"/>
      <c r="E166" s="31"/>
    </row>
    <row r="167" spans="1:5" ht="15.75">
      <c r="A167" s="20">
        <v>4</v>
      </c>
      <c r="B167" s="3" t="s">
        <v>448</v>
      </c>
      <c r="C167" s="20" t="s">
        <v>77</v>
      </c>
      <c r="D167" s="20" t="s">
        <v>77</v>
      </c>
      <c r="E167" s="31">
        <v>361000</v>
      </c>
    </row>
    <row r="168" spans="1:5" ht="15.75">
      <c r="A168" s="14"/>
      <c r="B168" s="3" t="s">
        <v>6</v>
      </c>
      <c r="C168" s="13"/>
      <c r="D168" s="13"/>
      <c r="E168" s="31"/>
    </row>
    <row r="169" spans="1:5" ht="25.5">
      <c r="A169" s="14"/>
      <c r="B169" s="14" t="s">
        <v>236</v>
      </c>
      <c r="C169" s="13">
        <v>1</v>
      </c>
      <c r="D169" s="13">
        <v>1</v>
      </c>
      <c r="E169" s="31">
        <v>1864376.23</v>
      </c>
    </row>
    <row r="170" spans="1:5" ht="15">
      <c r="A170" s="14"/>
      <c r="B170" s="14"/>
      <c r="C170" s="13"/>
      <c r="D170" s="13"/>
      <c r="E170" s="31"/>
    </row>
    <row r="171" spans="1:5" ht="15.75">
      <c r="A171" s="14"/>
      <c r="B171" s="3" t="s">
        <v>76</v>
      </c>
      <c r="C171" s="20" t="s">
        <v>77</v>
      </c>
      <c r="D171" s="20" t="s">
        <v>77</v>
      </c>
      <c r="E171" s="71">
        <f>E155+E156+E157+E169+E167+E158</f>
        <v>4586118.23</v>
      </c>
    </row>
    <row r="172" ht="15.75">
      <c r="A172" s="19"/>
    </row>
    <row r="173" spans="1:5" ht="36" customHeight="1">
      <c r="A173" s="250" t="s">
        <v>202</v>
      </c>
      <c r="B173" s="250"/>
      <c r="C173" s="250"/>
      <c r="D173" s="250"/>
      <c r="E173" s="2"/>
    </row>
    <row r="174" spans="1:5" ht="77.25" customHeight="1">
      <c r="A174" s="212" t="s">
        <v>63</v>
      </c>
      <c r="B174" s="212"/>
      <c r="C174" s="242" t="s">
        <v>498</v>
      </c>
      <c r="D174" s="242"/>
      <c r="E174" s="32"/>
    </row>
    <row r="175" spans="1:5" ht="15.75">
      <c r="A175" s="212" t="s">
        <v>64</v>
      </c>
      <c r="B175" s="212"/>
      <c r="C175" s="234" t="s">
        <v>275</v>
      </c>
      <c r="D175" s="234"/>
      <c r="E175" s="32"/>
    </row>
    <row r="176" spans="1:4" ht="15.75">
      <c r="A176" s="245" t="s">
        <v>203</v>
      </c>
      <c r="B176" s="245"/>
      <c r="C176" s="245"/>
      <c r="D176" s="245"/>
    </row>
    <row r="177" spans="1:4" ht="31.5">
      <c r="A177" s="20" t="s">
        <v>66</v>
      </c>
      <c r="B177" s="20" t="s">
        <v>79</v>
      </c>
      <c r="C177" s="20" t="s">
        <v>204</v>
      </c>
      <c r="D177" s="20" t="s">
        <v>205</v>
      </c>
    </row>
    <row r="178" spans="1:4" ht="15.75">
      <c r="A178" s="20">
        <v>1</v>
      </c>
      <c r="B178" s="20">
        <v>2</v>
      </c>
      <c r="C178" s="20">
        <v>3</v>
      </c>
      <c r="D178" s="20">
        <v>4</v>
      </c>
    </row>
    <row r="179" spans="1:4" ht="63">
      <c r="A179" s="13"/>
      <c r="B179" s="3" t="s">
        <v>206</v>
      </c>
      <c r="C179" s="20" t="s">
        <v>77</v>
      </c>
      <c r="D179" s="31"/>
    </row>
    <row r="180" spans="1:4" ht="31.5">
      <c r="A180" s="13"/>
      <c r="B180" s="3" t="s">
        <v>238</v>
      </c>
      <c r="C180" s="12">
        <v>1</v>
      </c>
      <c r="D180" s="71">
        <v>30000</v>
      </c>
    </row>
    <row r="181" spans="1:4" ht="78.75">
      <c r="A181" s="13"/>
      <c r="B181" s="3" t="s">
        <v>237</v>
      </c>
      <c r="C181" s="12">
        <v>1</v>
      </c>
      <c r="D181" s="71">
        <v>58900</v>
      </c>
    </row>
    <row r="182" spans="1:4" ht="47.25">
      <c r="A182" s="13"/>
      <c r="B182" s="3" t="s">
        <v>207</v>
      </c>
      <c r="C182" s="20">
        <v>3</v>
      </c>
      <c r="D182" s="71"/>
    </row>
    <row r="183" spans="1:4" ht="31.5">
      <c r="A183" s="13"/>
      <c r="B183" s="3" t="s">
        <v>239</v>
      </c>
      <c r="C183" s="12">
        <v>1</v>
      </c>
      <c r="D183" s="71">
        <v>100000</v>
      </c>
    </row>
    <row r="184" spans="1:4" ht="15.75">
      <c r="A184" s="13"/>
      <c r="B184" s="3" t="s">
        <v>240</v>
      </c>
      <c r="C184" s="12">
        <v>10</v>
      </c>
      <c r="D184" s="71">
        <v>70000</v>
      </c>
    </row>
    <row r="185" spans="1:4" ht="15.75">
      <c r="A185" s="13"/>
      <c r="B185" s="3" t="s">
        <v>241</v>
      </c>
      <c r="C185" s="12">
        <v>100</v>
      </c>
      <c r="D185" s="71">
        <v>1199160</v>
      </c>
    </row>
    <row r="186" spans="1:4" ht="63">
      <c r="A186" s="13"/>
      <c r="B186" s="3" t="s">
        <v>208</v>
      </c>
      <c r="C186" s="12">
        <v>10</v>
      </c>
      <c r="D186" s="71">
        <v>400000</v>
      </c>
    </row>
    <row r="187" spans="1:4" ht="31.5">
      <c r="A187" s="13"/>
      <c r="B187" s="3" t="s">
        <v>328</v>
      </c>
      <c r="C187" s="12">
        <v>1</v>
      </c>
      <c r="D187" s="71">
        <v>2708300.8</v>
      </c>
    </row>
    <row r="188" spans="1:4" ht="31.5">
      <c r="A188" s="13"/>
      <c r="B188" s="3" t="s">
        <v>388</v>
      </c>
      <c r="C188" s="12">
        <v>1</v>
      </c>
      <c r="D188" s="71">
        <v>150662.4</v>
      </c>
    </row>
    <row r="189" spans="1:4" ht="31.5">
      <c r="A189" s="13"/>
      <c r="B189" s="3" t="s">
        <v>345</v>
      </c>
      <c r="C189" s="12" t="s">
        <v>346</v>
      </c>
      <c r="D189" s="71"/>
    </row>
    <row r="190" spans="1:4" ht="15">
      <c r="A190" s="13"/>
      <c r="B190" s="14" t="s">
        <v>359</v>
      </c>
      <c r="C190" s="13"/>
      <c r="D190" s="31"/>
    </row>
    <row r="191" spans="1:4" ht="15">
      <c r="A191" s="13"/>
      <c r="B191" s="14" t="s">
        <v>499</v>
      </c>
      <c r="C191" s="13"/>
      <c r="D191" s="31">
        <v>91716</v>
      </c>
    </row>
    <row r="192" spans="1:4" ht="15">
      <c r="A192" s="13"/>
      <c r="B192" s="14"/>
      <c r="C192" s="13"/>
      <c r="D192" s="31"/>
    </row>
    <row r="193" spans="1:4" ht="15.75">
      <c r="A193" s="13"/>
      <c r="B193" s="3" t="s">
        <v>76</v>
      </c>
      <c r="C193" s="20" t="s">
        <v>77</v>
      </c>
      <c r="D193" s="31">
        <f>D180+D181+D182+D183+D184+D185+D186+D187+D189+D190</f>
        <v>4566360.8</v>
      </c>
    </row>
    <row r="194" spans="1:4" ht="15.75">
      <c r="A194" s="85"/>
      <c r="B194" s="79"/>
      <c r="C194" s="86"/>
      <c r="D194" s="87"/>
    </row>
    <row r="195" spans="1:5" ht="36" customHeight="1">
      <c r="A195" s="250" t="s">
        <v>202</v>
      </c>
      <c r="B195" s="250"/>
      <c r="C195" s="250"/>
      <c r="D195" s="250"/>
      <c r="E195" s="2"/>
    </row>
    <row r="196" spans="1:5" ht="15.75">
      <c r="A196" s="212" t="s">
        <v>63</v>
      </c>
      <c r="B196" s="212"/>
      <c r="C196" s="172" t="s">
        <v>398</v>
      </c>
      <c r="D196" s="173"/>
      <c r="E196" s="32"/>
    </row>
    <row r="197" spans="1:5" ht="15.75">
      <c r="A197" s="136"/>
      <c r="B197" s="136"/>
      <c r="C197" s="243"/>
      <c r="D197" s="244"/>
      <c r="E197" s="32"/>
    </row>
    <row r="198" spans="1:5" ht="15.75">
      <c r="A198" s="212" t="s">
        <v>64</v>
      </c>
      <c r="B198" s="212"/>
      <c r="C198" s="243" t="s">
        <v>276</v>
      </c>
      <c r="D198" s="244"/>
      <c r="E198" s="32"/>
    </row>
    <row r="199" spans="1:4" ht="15.75">
      <c r="A199" s="245" t="s">
        <v>203</v>
      </c>
      <c r="B199" s="245"/>
      <c r="C199" s="245"/>
      <c r="D199" s="245"/>
    </row>
    <row r="200" spans="1:4" ht="31.5">
      <c r="A200" s="93" t="s">
        <v>66</v>
      </c>
      <c r="B200" s="93" t="s">
        <v>79</v>
      </c>
      <c r="C200" s="93" t="s">
        <v>204</v>
      </c>
      <c r="D200" s="93" t="s">
        <v>205</v>
      </c>
    </row>
    <row r="201" spans="1:4" ht="15.75">
      <c r="A201" s="93">
        <v>1</v>
      </c>
      <c r="B201" s="93">
        <v>2</v>
      </c>
      <c r="C201" s="93">
        <v>3</v>
      </c>
      <c r="D201" s="93">
        <v>4</v>
      </c>
    </row>
    <row r="202" spans="1:4" ht="63">
      <c r="A202" s="13"/>
      <c r="B202" s="3" t="s">
        <v>206</v>
      </c>
      <c r="C202" s="93" t="s">
        <v>77</v>
      </c>
      <c r="D202" s="31"/>
    </row>
    <row r="203" spans="1:4" ht="15.75">
      <c r="A203" s="13"/>
      <c r="B203" s="3" t="s">
        <v>182</v>
      </c>
      <c r="C203" s="13"/>
      <c r="D203" s="31"/>
    </row>
    <row r="204" spans="1:4" ht="15">
      <c r="A204" s="13"/>
      <c r="B204" s="14" t="s">
        <v>331</v>
      </c>
      <c r="C204" s="13"/>
      <c r="D204" s="31"/>
    </row>
    <row r="205" spans="1:4" ht="15.75">
      <c r="A205" s="13"/>
      <c r="B205" s="3" t="s">
        <v>274</v>
      </c>
      <c r="C205" s="12">
        <v>3</v>
      </c>
      <c r="D205" s="31">
        <v>18779.7</v>
      </c>
    </row>
    <row r="206" spans="1:4" ht="63">
      <c r="A206" s="13"/>
      <c r="B206" s="3" t="s">
        <v>208</v>
      </c>
      <c r="C206" s="93"/>
      <c r="D206" s="31"/>
    </row>
    <row r="207" spans="1:4" ht="15.75">
      <c r="A207" s="13"/>
      <c r="B207" s="3" t="s">
        <v>6</v>
      </c>
      <c r="C207" s="13"/>
      <c r="D207" s="31"/>
    </row>
    <row r="208" spans="1:4" ht="31.5">
      <c r="A208" s="13"/>
      <c r="B208" s="3" t="s">
        <v>209</v>
      </c>
      <c r="C208" s="13"/>
      <c r="D208" s="31"/>
    </row>
    <row r="209" spans="1:4" ht="15">
      <c r="A209" s="13"/>
      <c r="B209" s="14"/>
      <c r="C209" s="13"/>
      <c r="D209" s="31"/>
    </row>
    <row r="210" spans="1:4" ht="15.75">
      <c r="A210" s="13"/>
      <c r="B210" s="3" t="s">
        <v>76</v>
      </c>
      <c r="C210" s="93" t="s">
        <v>77</v>
      </c>
      <c r="D210" s="71">
        <f>D202+D205+D206</f>
        <v>18779.7</v>
      </c>
    </row>
    <row r="211" spans="1:4" ht="15.75">
      <c r="A211" s="85"/>
      <c r="B211" s="79"/>
      <c r="C211" s="86"/>
      <c r="D211" s="181"/>
    </row>
    <row r="212" spans="1:4" ht="15.75">
      <c r="A212" s="250" t="s">
        <v>202</v>
      </c>
      <c r="B212" s="250"/>
      <c r="C212" s="250"/>
      <c r="D212" s="250"/>
    </row>
    <row r="213" spans="1:4" ht="36.75" customHeight="1">
      <c r="A213" s="212" t="s">
        <v>63</v>
      </c>
      <c r="B213" s="212"/>
      <c r="C213" s="246" t="s">
        <v>428</v>
      </c>
      <c r="D213" s="247"/>
    </row>
    <row r="214" spans="1:4" ht="15.75">
      <c r="A214" s="178"/>
      <c r="B214" s="178"/>
      <c r="C214" s="243"/>
      <c r="D214" s="244"/>
    </row>
    <row r="215" spans="1:4" ht="15.75">
      <c r="A215" s="212" t="s">
        <v>64</v>
      </c>
      <c r="B215" s="212"/>
      <c r="C215" s="243" t="s">
        <v>275</v>
      </c>
      <c r="D215" s="244"/>
    </row>
    <row r="216" spans="1:4" ht="15.75">
      <c r="A216" s="245" t="s">
        <v>203</v>
      </c>
      <c r="B216" s="245"/>
      <c r="C216" s="245"/>
      <c r="D216" s="245"/>
    </row>
    <row r="217" spans="1:4" ht="31.5">
      <c r="A217" s="178" t="s">
        <v>66</v>
      </c>
      <c r="B217" s="178" t="s">
        <v>79</v>
      </c>
      <c r="C217" s="178" t="s">
        <v>204</v>
      </c>
      <c r="D217" s="178" t="s">
        <v>205</v>
      </c>
    </row>
    <row r="218" spans="1:4" ht="15.75">
      <c r="A218" s="178">
        <v>1</v>
      </c>
      <c r="B218" s="178">
        <v>2</v>
      </c>
      <c r="C218" s="178">
        <v>3</v>
      </c>
      <c r="D218" s="178">
        <v>4</v>
      </c>
    </row>
    <row r="219" spans="1:4" ht="63">
      <c r="A219" s="13"/>
      <c r="B219" s="3" t="s">
        <v>206</v>
      </c>
      <c r="C219" s="178" t="s">
        <v>77</v>
      </c>
      <c r="D219" s="31"/>
    </row>
    <row r="220" spans="1:4" ht="15.75">
      <c r="A220" s="13"/>
      <c r="B220" s="3" t="s">
        <v>182</v>
      </c>
      <c r="C220" s="13"/>
      <c r="D220" s="31"/>
    </row>
    <row r="221" spans="1:4" ht="15">
      <c r="A221" s="13"/>
      <c r="B221" s="14" t="s">
        <v>429</v>
      </c>
      <c r="C221" s="13"/>
      <c r="D221" s="31">
        <v>30425.16</v>
      </c>
    </row>
    <row r="222" spans="1:4" ht="15.75">
      <c r="A222" s="13"/>
      <c r="B222" s="3" t="s">
        <v>427</v>
      </c>
      <c r="C222" s="12">
        <v>3</v>
      </c>
      <c r="D222" s="31">
        <v>190650</v>
      </c>
    </row>
    <row r="223" spans="1:4" ht="15.75">
      <c r="A223" s="13"/>
      <c r="B223" s="3" t="s">
        <v>503</v>
      </c>
      <c r="C223" s="12">
        <v>3</v>
      </c>
      <c r="D223" s="31">
        <v>13500</v>
      </c>
    </row>
    <row r="224" spans="1:4" ht="15.75">
      <c r="A224" s="13"/>
      <c r="B224" s="3" t="s">
        <v>506</v>
      </c>
      <c r="C224" s="12"/>
      <c r="D224" s="31">
        <v>57600</v>
      </c>
    </row>
    <row r="225" spans="1:4" ht="63">
      <c r="A225" s="13"/>
      <c r="B225" s="3" t="s">
        <v>208</v>
      </c>
      <c r="C225" s="178"/>
      <c r="D225" s="31"/>
    </row>
    <row r="226" spans="1:4" ht="15.75">
      <c r="A226" s="13"/>
      <c r="B226" s="3" t="s">
        <v>6</v>
      </c>
      <c r="C226" s="13"/>
      <c r="D226" s="31"/>
    </row>
    <row r="227" spans="1:4" ht="31.5">
      <c r="A227" s="13"/>
      <c r="B227" s="3" t="s">
        <v>209</v>
      </c>
      <c r="C227" s="13"/>
      <c r="D227" s="31"/>
    </row>
    <row r="228" spans="1:4" ht="15">
      <c r="A228" s="13"/>
      <c r="B228" s="14"/>
      <c r="C228" s="13"/>
      <c r="D228" s="31"/>
    </row>
    <row r="229" spans="1:4" ht="15.75">
      <c r="A229" s="13"/>
      <c r="B229" s="3" t="s">
        <v>76</v>
      </c>
      <c r="C229" s="178" t="s">
        <v>77</v>
      </c>
      <c r="D229" s="71">
        <f>D219+D222+D225</f>
        <v>190650</v>
      </c>
    </row>
    <row r="230" spans="1:4" ht="15.75">
      <c r="A230" s="85"/>
      <c r="B230" s="79"/>
      <c r="C230" s="86"/>
      <c r="D230" s="181"/>
    </row>
    <row r="231" spans="1:4" ht="15.75">
      <c r="A231" s="85"/>
      <c r="B231" s="79"/>
      <c r="C231" s="86"/>
      <c r="D231" s="181"/>
    </row>
    <row r="232" spans="1:5" ht="15.75">
      <c r="A232" s="207" t="s">
        <v>169</v>
      </c>
      <c r="B232" s="207"/>
      <c r="C232" s="207"/>
      <c r="D232" s="207"/>
      <c r="E232" s="207"/>
    </row>
    <row r="233" spans="1:5" ht="57.75" customHeight="1">
      <c r="A233" s="212" t="s">
        <v>63</v>
      </c>
      <c r="B233" s="212"/>
      <c r="C233" s="242" t="s">
        <v>464</v>
      </c>
      <c r="D233" s="242"/>
      <c r="E233" s="242"/>
    </row>
    <row r="234" spans="1:5" ht="15.75">
      <c r="A234" s="212" t="s">
        <v>64</v>
      </c>
      <c r="B234" s="212"/>
      <c r="C234" s="234" t="s">
        <v>276</v>
      </c>
      <c r="D234" s="234"/>
      <c r="E234" s="234"/>
    </row>
    <row r="235" ht="15.75">
      <c r="A235" s="2" t="s">
        <v>210</v>
      </c>
    </row>
    <row r="236" spans="1:5" ht="47.25">
      <c r="A236" s="187" t="s">
        <v>66</v>
      </c>
      <c r="B236" s="187" t="s">
        <v>79</v>
      </c>
      <c r="C236" s="187" t="s">
        <v>186</v>
      </c>
      <c r="D236" s="187" t="s">
        <v>211</v>
      </c>
      <c r="E236" s="187" t="s">
        <v>212</v>
      </c>
    </row>
    <row r="237" spans="1:5" ht="15.75">
      <c r="A237" s="13"/>
      <c r="B237" s="187">
        <v>1</v>
      </c>
      <c r="C237" s="187">
        <v>2</v>
      </c>
      <c r="D237" s="187">
        <v>3</v>
      </c>
      <c r="E237" s="187">
        <v>4</v>
      </c>
    </row>
    <row r="238" spans="1:5" ht="31.5">
      <c r="A238" s="13"/>
      <c r="B238" s="3" t="s">
        <v>213</v>
      </c>
      <c r="C238" s="187" t="s">
        <v>77</v>
      </c>
      <c r="D238" s="187" t="s">
        <v>77</v>
      </c>
      <c r="E238" s="187" t="s">
        <v>77</v>
      </c>
    </row>
    <row r="239" spans="1:5" ht="31.5">
      <c r="A239" s="13"/>
      <c r="B239" s="3" t="s">
        <v>214</v>
      </c>
      <c r="C239" s="13"/>
      <c r="D239" s="13"/>
      <c r="E239" s="31"/>
    </row>
    <row r="240" spans="1:12" ht="41.25" customHeight="1">
      <c r="A240" s="13"/>
      <c r="B240" s="3" t="s">
        <v>245</v>
      </c>
      <c r="C240" s="13">
        <v>10</v>
      </c>
      <c r="D240" s="50">
        <v>70000</v>
      </c>
      <c r="E240" s="31">
        <f>C240*D240</f>
        <v>700000</v>
      </c>
      <c r="F240" s="59"/>
      <c r="G240" s="58"/>
      <c r="H240" s="58"/>
      <c r="I240" s="58"/>
      <c r="J240" s="58"/>
      <c r="K240" s="58"/>
      <c r="L240" s="58"/>
    </row>
    <row r="241" spans="1:12" ht="44.25" customHeight="1">
      <c r="A241" s="13"/>
      <c r="B241" s="3" t="s">
        <v>347</v>
      </c>
      <c r="C241" s="187" t="s">
        <v>77</v>
      </c>
      <c r="D241" s="187" t="s">
        <v>77</v>
      </c>
      <c r="E241" s="31"/>
      <c r="F241" s="58"/>
      <c r="G241" s="58"/>
      <c r="H241" s="58"/>
      <c r="I241" s="58"/>
      <c r="J241" s="58"/>
      <c r="K241" s="58"/>
      <c r="L241" s="58"/>
    </row>
    <row r="242" spans="1:12" ht="44.25" customHeight="1">
      <c r="A242" s="13"/>
      <c r="B242" s="3" t="s">
        <v>375</v>
      </c>
      <c r="C242" s="187"/>
      <c r="D242" s="187"/>
      <c r="E242" s="31"/>
      <c r="F242" s="160"/>
      <c r="G242" s="160"/>
      <c r="H242" s="160"/>
      <c r="I242" s="160"/>
      <c r="J242" s="160"/>
      <c r="K242" s="160"/>
      <c r="L242" s="160"/>
    </row>
    <row r="243" spans="1:5" ht="15.75">
      <c r="A243" s="62"/>
      <c r="B243" s="34" t="s">
        <v>76</v>
      </c>
      <c r="C243" s="62"/>
      <c r="D243" s="189" t="s">
        <v>77</v>
      </c>
      <c r="E243" s="176">
        <f>E240+E241</f>
        <v>700000</v>
      </c>
    </row>
    <row r="244" spans="1:4" ht="15.75">
      <c r="A244" s="85"/>
      <c r="B244" s="79"/>
      <c r="C244" s="86"/>
      <c r="D244" s="181"/>
    </row>
    <row r="245" spans="1:5" ht="15.75">
      <c r="A245" s="207" t="s">
        <v>169</v>
      </c>
      <c r="B245" s="207"/>
      <c r="C245" s="207"/>
      <c r="D245" s="207"/>
      <c r="E245" s="207"/>
    </row>
    <row r="246" spans="1:5" ht="57.75" customHeight="1">
      <c r="A246" s="212" t="s">
        <v>63</v>
      </c>
      <c r="B246" s="212"/>
      <c r="C246" s="242" t="s">
        <v>523</v>
      </c>
      <c r="D246" s="242"/>
      <c r="E246" s="242"/>
    </row>
    <row r="247" spans="1:5" ht="15.75">
      <c r="A247" s="212" t="s">
        <v>64</v>
      </c>
      <c r="B247" s="212"/>
      <c r="C247" s="234" t="s">
        <v>276</v>
      </c>
      <c r="D247" s="234"/>
      <c r="E247" s="234"/>
    </row>
    <row r="248" ht="15.75">
      <c r="A248" s="2" t="s">
        <v>210</v>
      </c>
    </row>
    <row r="249" spans="1:5" ht="47.25">
      <c r="A249" s="93" t="s">
        <v>66</v>
      </c>
      <c r="B249" s="93" t="s">
        <v>79</v>
      </c>
      <c r="C249" s="93" t="s">
        <v>186</v>
      </c>
      <c r="D249" s="93" t="s">
        <v>211</v>
      </c>
      <c r="E249" s="93" t="s">
        <v>212</v>
      </c>
    </row>
    <row r="250" spans="1:5" ht="15.75">
      <c r="A250" s="13"/>
      <c r="B250" s="93">
        <v>1</v>
      </c>
      <c r="C250" s="93">
        <v>2</v>
      </c>
      <c r="D250" s="93">
        <v>3</v>
      </c>
      <c r="E250" s="93">
        <v>4</v>
      </c>
    </row>
    <row r="251" spans="1:5" ht="31.5">
      <c r="A251" s="13"/>
      <c r="B251" s="3" t="s">
        <v>213</v>
      </c>
      <c r="C251" s="93" t="s">
        <v>77</v>
      </c>
      <c r="D251" s="93" t="s">
        <v>77</v>
      </c>
      <c r="E251" s="93" t="s">
        <v>77</v>
      </c>
    </row>
    <row r="252" spans="1:5" ht="31.5">
      <c r="A252" s="13"/>
      <c r="B252" s="3" t="s">
        <v>214</v>
      </c>
      <c r="C252" s="13"/>
      <c r="D252" s="13"/>
      <c r="E252" s="31"/>
    </row>
    <row r="253" spans="1:12" ht="41.25" customHeight="1">
      <c r="A253" s="13"/>
      <c r="B253" s="3" t="s">
        <v>245</v>
      </c>
      <c r="C253" s="13">
        <v>100</v>
      </c>
      <c r="D253" s="50">
        <v>10601.9581</v>
      </c>
      <c r="E253" s="31">
        <f>C253*D253</f>
        <v>1060195.81</v>
      </c>
      <c r="F253" s="59"/>
      <c r="G253" s="58"/>
      <c r="H253" s="58"/>
      <c r="I253" s="58"/>
      <c r="J253" s="58"/>
      <c r="K253" s="58"/>
      <c r="L253" s="58"/>
    </row>
    <row r="254" spans="1:12" ht="44.25" customHeight="1">
      <c r="A254" s="13"/>
      <c r="B254" s="3" t="s">
        <v>347</v>
      </c>
      <c r="C254" s="138" t="s">
        <v>77</v>
      </c>
      <c r="D254" s="138" t="s">
        <v>77</v>
      </c>
      <c r="E254" s="31"/>
      <c r="F254" s="58"/>
      <c r="G254" s="58"/>
      <c r="H254" s="58"/>
      <c r="I254" s="58"/>
      <c r="J254" s="58"/>
      <c r="K254" s="58"/>
      <c r="L254" s="58"/>
    </row>
    <row r="255" spans="1:12" ht="44.25" customHeight="1">
      <c r="A255" s="13"/>
      <c r="B255" s="3" t="s">
        <v>509</v>
      </c>
      <c r="C255" s="157"/>
      <c r="D255" s="157"/>
      <c r="E255" s="31">
        <v>36462.8</v>
      </c>
      <c r="F255" s="160"/>
      <c r="G255" s="160"/>
      <c r="H255" s="160"/>
      <c r="I255" s="160"/>
      <c r="J255" s="160"/>
      <c r="K255" s="160"/>
      <c r="L255" s="160"/>
    </row>
    <row r="256" spans="1:12" ht="44.25" customHeight="1">
      <c r="A256" s="13"/>
      <c r="B256" s="3" t="s">
        <v>522</v>
      </c>
      <c r="C256" s="201"/>
      <c r="D256" s="201"/>
      <c r="E256" s="31">
        <v>43720</v>
      </c>
      <c r="F256" s="160"/>
      <c r="G256" s="160"/>
      <c r="H256" s="160"/>
      <c r="I256" s="160"/>
      <c r="J256" s="160"/>
      <c r="K256" s="160"/>
      <c r="L256" s="160"/>
    </row>
    <row r="257" spans="1:5" ht="15.75">
      <c r="A257" s="62"/>
      <c r="B257" s="34" t="s">
        <v>76</v>
      </c>
      <c r="C257" s="62"/>
      <c r="D257" s="98" t="s">
        <v>77</v>
      </c>
      <c r="E257" s="176">
        <f>E253+E254</f>
        <v>1060195.81</v>
      </c>
    </row>
    <row r="258" ht="15.75">
      <c r="A258" s="92"/>
    </row>
    <row r="259" spans="1:5" ht="15.75">
      <c r="A259" s="207" t="s">
        <v>169</v>
      </c>
      <c r="B259" s="207"/>
      <c r="C259" s="207"/>
      <c r="D259" s="207"/>
      <c r="E259" s="207"/>
    </row>
    <row r="260" spans="1:5" ht="15.75">
      <c r="A260" s="212" t="s">
        <v>63</v>
      </c>
      <c r="B260" s="212"/>
      <c r="C260" s="234" t="s">
        <v>452</v>
      </c>
      <c r="D260" s="234"/>
      <c r="E260" s="234"/>
    </row>
    <row r="261" spans="1:5" ht="15.75">
      <c r="A261" s="212" t="s">
        <v>64</v>
      </c>
      <c r="B261" s="212"/>
      <c r="C261" s="234" t="s">
        <v>275</v>
      </c>
      <c r="D261" s="234"/>
      <c r="E261" s="234"/>
    </row>
    <row r="262" ht="15.75">
      <c r="A262" s="2" t="s">
        <v>210</v>
      </c>
    </row>
    <row r="263" spans="1:5" ht="47.25">
      <c r="A263" s="136" t="s">
        <v>66</v>
      </c>
      <c r="B263" s="136" t="s">
        <v>79</v>
      </c>
      <c r="C263" s="136" t="s">
        <v>186</v>
      </c>
      <c r="D263" s="136" t="s">
        <v>211</v>
      </c>
      <c r="E263" s="136" t="s">
        <v>212</v>
      </c>
    </row>
    <row r="264" spans="1:5" ht="15.75">
      <c r="A264" s="13"/>
      <c r="B264" s="136">
        <v>1</v>
      </c>
      <c r="C264" s="136">
        <v>2</v>
      </c>
      <c r="D264" s="136">
        <v>3</v>
      </c>
      <c r="E264" s="136">
        <v>4</v>
      </c>
    </row>
    <row r="265" spans="1:5" ht="31.5">
      <c r="A265" s="13"/>
      <c r="B265" s="3" t="s">
        <v>213</v>
      </c>
      <c r="C265" s="136" t="s">
        <v>77</v>
      </c>
      <c r="D265" s="136" t="s">
        <v>77</v>
      </c>
      <c r="E265" s="136" t="s">
        <v>77</v>
      </c>
    </row>
    <row r="266" spans="1:5" ht="31.5">
      <c r="A266" s="13"/>
      <c r="B266" s="3" t="s">
        <v>214</v>
      </c>
      <c r="C266" s="13"/>
      <c r="D266" s="13"/>
      <c r="E266" s="31"/>
    </row>
    <row r="267" spans="1:12" ht="41.25" customHeight="1">
      <c r="A267" s="13"/>
      <c r="B267" s="3" t="s">
        <v>451</v>
      </c>
      <c r="C267" s="13"/>
      <c r="D267" s="50"/>
      <c r="E267" s="31">
        <v>446760</v>
      </c>
      <c r="F267" s="59"/>
      <c r="G267" s="58"/>
      <c r="H267" s="58"/>
      <c r="I267" s="58"/>
      <c r="J267" s="58"/>
      <c r="K267" s="58"/>
      <c r="L267" s="58"/>
    </row>
    <row r="268" spans="1:12" ht="15" customHeight="1">
      <c r="A268" s="13"/>
      <c r="B268" s="60"/>
      <c r="C268" s="13"/>
      <c r="D268" s="50"/>
      <c r="E268" s="31"/>
      <c r="F268" s="58"/>
      <c r="G268" s="58"/>
      <c r="H268" s="58"/>
      <c r="I268" s="58"/>
      <c r="J268" s="58"/>
      <c r="K268" s="58"/>
      <c r="L268" s="58"/>
    </row>
    <row r="269" spans="1:5" ht="15.75">
      <c r="A269" s="62"/>
      <c r="B269" s="34" t="s">
        <v>76</v>
      </c>
      <c r="C269" s="62"/>
      <c r="D269" s="135" t="s">
        <v>77</v>
      </c>
      <c r="E269" s="37">
        <f>E267+E268</f>
        <v>446760</v>
      </c>
    </row>
    <row r="270" ht="15.75">
      <c r="A270" s="134"/>
    </row>
    <row r="271" spans="1:6" ht="15.75">
      <c r="A271" s="229" t="s">
        <v>202</v>
      </c>
      <c r="B271" s="229"/>
      <c r="C271" s="229"/>
      <c r="D271" s="229"/>
      <c r="E271" s="229"/>
      <c r="F271" s="229"/>
    </row>
    <row r="272" spans="1:6" ht="15.75">
      <c r="A272" s="212" t="s">
        <v>63</v>
      </c>
      <c r="B272" s="212"/>
      <c r="C272" s="242" t="s">
        <v>455</v>
      </c>
      <c r="D272" s="242"/>
      <c r="E272" s="242"/>
      <c r="F272" s="242"/>
    </row>
    <row r="273" spans="1:6" ht="15.75">
      <c r="A273" s="212" t="s">
        <v>64</v>
      </c>
      <c r="B273" s="212"/>
      <c r="C273" s="234" t="s">
        <v>275</v>
      </c>
      <c r="D273" s="234"/>
      <c r="E273" s="234"/>
      <c r="F273" s="234"/>
    </row>
    <row r="274" spans="1:6" ht="15.75">
      <c r="A274" s="249" t="s">
        <v>215</v>
      </c>
      <c r="B274" s="249"/>
      <c r="C274" s="249"/>
      <c r="D274" s="249"/>
      <c r="E274" s="249"/>
      <c r="F274" s="249"/>
    </row>
    <row r="275" spans="1:6" ht="31.5">
      <c r="A275" s="20" t="s">
        <v>66</v>
      </c>
      <c r="B275" s="20" t="s">
        <v>79</v>
      </c>
      <c r="C275" s="20" t="s">
        <v>216</v>
      </c>
      <c r="D275" s="20" t="s">
        <v>186</v>
      </c>
      <c r="E275" s="20" t="s">
        <v>217</v>
      </c>
      <c r="F275" s="20" t="s">
        <v>218</v>
      </c>
    </row>
    <row r="276" spans="1:6" ht="15.75">
      <c r="A276" s="20">
        <v>1</v>
      </c>
      <c r="B276" s="20">
        <v>2</v>
      </c>
      <c r="C276" s="20">
        <v>3</v>
      </c>
      <c r="D276" s="20">
        <v>4</v>
      </c>
      <c r="E276" s="20">
        <v>5</v>
      </c>
      <c r="F276" s="20">
        <v>6</v>
      </c>
    </row>
    <row r="277" spans="1:6" ht="15.75">
      <c r="A277" s="13"/>
      <c r="B277" s="3" t="s">
        <v>219</v>
      </c>
      <c r="C277" s="20" t="s">
        <v>77</v>
      </c>
      <c r="D277" s="20" t="s">
        <v>77</v>
      </c>
      <c r="E277" s="20" t="s">
        <v>77</v>
      </c>
      <c r="F277" s="20" t="s">
        <v>77</v>
      </c>
    </row>
    <row r="278" spans="1:6" ht="31.5">
      <c r="A278" s="13"/>
      <c r="B278" s="3" t="s">
        <v>220</v>
      </c>
      <c r="C278" s="13"/>
      <c r="D278" s="13"/>
      <c r="E278" s="13"/>
      <c r="F278" s="31"/>
    </row>
    <row r="279" spans="1:6" ht="15.75">
      <c r="A279" s="13"/>
      <c r="B279" s="57" t="s">
        <v>228</v>
      </c>
      <c r="C279" s="13" t="s">
        <v>251</v>
      </c>
      <c r="D279" s="13">
        <v>300</v>
      </c>
      <c r="E279" s="61">
        <v>166.66666</v>
      </c>
      <c r="F279" s="31">
        <f>D279*E279</f>
        <v>49999.998</v>
      </c>
    </row>
    <row r="280" spans="1:6" ht="31.5">
      <c r="A280" s="13"/>
      <c r="B280" s="57" t="s">
        <v>252</v>
      </c>
      <c r="C280" s="13" t="s">
        <v>251</v>
      </c>
      <c r="D280" s="13">
        <v>500</v>
      </c>
      <c r="E280" s="50">
        <v>2657.49</v>
      </c>
      <c r="F280" s="31">
        <v>2562953.92</v>
      </c>
    </row>
    <row r="281" spans="1:6" ht="31.5">
      <c r="A281" s="13"/>
      <c r="B281" s="57" t="s">
        <v>456</v>
      </c>
      <c r="C281" s="13" t="s">
        <v>251</v>
      </c>
      <c r="D281" s="13"/>
      <c r="E281" s="50"/>
      <c r="F281" s="31">
        <v>8000</v>
      </c>
    </row>
    <row r="282" spans="1:6" ht="31.5">
      <c r="A282" s="13"/>
      <c r="B282" s="57" t="s">
        <v>384</v>
      </c>
      <c r="C282" s="13" t="s">
        <v>251</v>
      </c>
      <c r="D282" s="13"/>
      <c r="E282" s="50"/>
      <c r="F282" s="31"/>
    </row>
    <row r="283" spans="1:6" ht="15.75">
      <c r="A283" s="63"/>
      <c r="B283" s="64" t="s">
        <v>76</v>
      </c>
      <c r="C283" s="65" t="s">
        <v>77</v>
      </c>
      <c r="D283" s="65" t="s">
        <v>77</v>
      </c>
      <c r="E283" s="65" t="s">
        <v>77</v>
      </c>
      <c r="F283" s="66">
        <f>SUM(F278:F282)</f>
        <v>2620953.918</v>
      </c>
    </row>
    <row r="284" spans="1:9" ht="15.75">
      <c r="A284" s="1"/>
      <c r="I284" s="78"/>
    </row>
    <row r="285" spans="1:6" ht="15.75">
      <c r="A285" s="229" t="s">
        <v>202</v>
      </c>
      <c r="B285" s="229"/>
      <c r="C285" s="229"/>
      <c r="D285" s="229"/>
      <c r="E285" s="229"/>
      <c r="F285" s="229"/>
    </row>
    <row r="286" spans="1:6" ht="40.5" customHeight="1">
      <c r="A286" s="212" t="s">
        <v>63</v>
      </c>
      <c r="B286" s="212"/>
      <c r="C286" s="234" t="s">
        <v>400</v>
      </c>
      <c r="D286" s="234"/>
      <c r="E286" s="234"/>
      <c r="F286" s="234"/>
    </row>
    <row r="287" spans="1:6" ht="15.75">
      <c r="A287" s="212" t="s">
        <v>64</v>
      </c>
      <c r="B287" s="212"/>
      <c r="C287" s="234" t="s">
        <v>276</v>
      </c>
      <c r="D287" s="234"/>
      <c r="E287" s="234"/>
      <c r="F287" s="234"/>
    </row>
    <row r="288" spans="1:6" ht="15.75">
      <c r="A288" s="249" t="s">
        <v>215</v>
      </c>
      <c r="B288" s="249"/>
      <c r="C288" s="249"/>
      <c r="D288" s="249"/>
      <c r="E288" s="249"/>
      <c r="F288" s="249"/>
    </row>
    <row r="289" spans="1:6" ht="31.5">
      <c r="A289" s="93" t="s">
        <v>66</v>
      </c>
      <c r="B289" s="93" t="s">
        <v>79</v>
      </c>
      <c r="C289" s="93" t="s">
        <v>216</v>
      </c>
      <c r="D289" s="93" t="s">
        <v>186</v>
      </c>
      <c r="E289" s="93" t="s">
        <v>217</v>
      </c>
      <c r="F289" s="93" t="s">
        <v>218</v>
      </c>
    </row>
    <row r="290" spans="1:6" ht="15.75">
      <c r="A290" s="93">
        <v>1</v>
      </c>
      <c r="B290" s="93">
        <v>2</v>
      </c>
      <c r="C290" s="93">
        <v>3</v>
      </c>
      <c r="D290" s="93">
        <v>4</v>
      </c>
      <c r="E290" s="93">
        <v>5</v>
      </c>
      <c r="F290" s="93">
        <v>6</v>
      </c>
    </row>
    <row r="291" spans="1:6" ht="15.75">
      <c r="A291" s="13"/>
      <c r="B291" s="3" t="s">
        <v>219</v>
      </c>
      <c r="C291" s="93" t="s">
        <v>77</v>
      </c>
      <c r="D291" s="93" t="s">
        <v>77</v>
      </c>
      <c r="E291" s="93" t="s">
        <v>77</v>
      </c>
      <c r="F291" s="93" t="s">
        <v>77</v>
      </c>
    </row>
    <row r="292" spans="1:6" ht="31.5">
      <c r="A292" s="13"/>
      <c r="B292" s="3" t="s">
        <v>220</v>
      </c>
      <c r="C292" s="13"/>
      <c r="D292" s="13"/>
      <c r="E292" s="13"/>
      <c r="F292" s="31"/>
    </row>
    <row r="293" spans="1:6" ht="31.5">
      <c r="A293" s="13"/>
      <c r="B293" s="3" t="s">
        <v>376</v>
      </c>
      <c r="C293" s="13"/>
      <c r="D293" s="13"/>
      <c r="E293" s="61"/>
      <c r="F293" s="31"/>
    </row>
    <row r="294" spans="1:6" ht="31.5">
      <c r="A294" s="13"/>
      <c r="B294" s="3" t="s">
        <v>246</v>
      </c>
      <c r="C294" s="13" t="s">
        <v>251</v>
      </c>
      <c r="D294" s="13"/>
      <c r="E294" s="50"/>
      <c r="F294" s="31">
        <v>362832.49</v>
      </c>
    </row>
    <row r="295" spans="1:6" ht="15.75">
      <c r="A295" s="63"/>
      <c r="B295" s="64" t="s">
        <v>76</v>
      </c>
      <c r="C295" s="65" t="s">
        <v>77</v>
      </c>
      <c r="D295" s="65" t="s">
        <v>77</v>
      </c>
      <c r="E295" s="65" t="s">
        <v>77</v>
      </c>
      <c r="F295" s="66">
        <f>SUM(F292:F294)</f>
        <v>362832.49</v>
      </c>
    </row>
    <row r="296" spans="1:6" ht="15.75">
      <c r="A296" s="108"/>
      <c r="B296" s="109"/>
      <c r="C296" s="110"/>
      <c r="D296" s="110"/>
      <c r="E296" s="110"/>
      <c r="F296" s="111"/>
    </row>
    <row r="297" spans="1:6" ht="15.75">
      <c r="A297" s="229" t="s">
        <v>202</v>
      </c>
      <c r="B297" s="229"/>
      <c r="C297" s="229"/>
      <c r="D297" s="229"/>
      <c r="E297" s="229"/>
      <c r="F297" s="229"/>
    </row>
    <row r="298" spans="1:6" ht="56.25" customHeight="1">
      <c r="A298" s="212" t="s">
        <v>63</v>
      </c>
      <c r="B298" s="212"/>
      <c r="C298" s="242" t="s">
        <v>493</v>
      </c>
      <c r="D298" s="242"/>
      <c r="E298" s="242"/>
      <c r="F298" s="242"/>
    </row>
    <row r="299" spans="1:6" ht="15.75">
      <c r="A299" s="212" t="s">
        <v>64</v>
      </c>
      <c r="B299" s="212"/>
      <c r="C299" s="234" t="s">
        <v>275</v>
      </c>
      <c r="D299" s="234"/>
      <c r="E299" s="234"/>
      <c r="F299" s="234"/>
    </row>
    <row r="300" spans="1:6" ht="15.75">
      <c r="A300" s="249" t="s">
        <v>215</v>
      </c>
      <c r="B300" s="249"/>
      <c r="C300" s="249"/>
      <c r="D300" s="249"/>
      <c r="E300" s="249"/>
      <c r="F300" s="249"/>
    </row>
    <row r="301" spans="1:6" ht="31.5">
      <c r="A301" s="178" t="s">
        <v>66</v>
      </c>
      <c r="B301" s="178" t="s">
        <v>79</v>
      </c>
      <c r="C301" s="178" t="s">
        <v>216</v>
      </c>
      <c r="D301" s="178" t="s">
        <v>186</v>
      </c>
      <c r="E301" s="178" t="s">
        <v>217</v>
      </c>
      <c r="F301" s="178" t="s">
        <v>218</v>
      </c>
    </row>
    <row r="302" spans="1:6" ht="15.75">
      <c r="A302" s="178">
        <v>1</v>
      </c>
      <c r="B302" s="178">
        <v>2</v>
      </c>
      <c r="C302" s="178">
        <v>3</v>
      </c>
      <c r="D302" s="178">
        <v>4</v>
      </c>
      <c r="E302" s="178">
        <v>5</v>
      </c>
      <c r="F302" s="178">
        <v>6</v>
      </c>
    </row>
    <row r="303" spans="1:6" ht="15.75">
      <c r="A303" s="13"/>
      <c r="B303" s="3" t="s">
        <v>219</v>
      </c>
      <c r="C303" s="178" t="s">
        <v>77</v>
      </c>
      <c r="D303" s="178" t="s">
        <v>77</v>
      </c>
      <c r="E303" s="178" t="s">
        <v>77</v>
      </c>
      <c r="F303" s="178" t="s">
        <v>77</v>
      </c>
    </row>
    <row r="304" spans="1:6" ht="31.5">
      <c r="A304" s="13"/>
      <c r="B304" s="3" t="s">
        <v>220</v>
      </c>
      <c r="C304" s="13"/>
      <c r="D304" s="13"/>
      <c r="E304" s="13"/>
      <c r="F304" s="31"/>
    </row>
    <row r="305" spans="1:6" s="192" customFormat="1" ht="47.25">
      <c r="A305" s="190"/>
      <c r="B305" s="191" t="s">
        <v>491</v>
      </c>
      <c r="C305" s="190"/>
      <c r="D305" s="190"/>
      <c r="E305" s="190"/>
      <c r="F305" s="190">
        <v>5000</v>
      </c>
    </row>
    <row r="306" spans="1:6" s="192" customFormat="1" ht="31.5">
      <c r="A306" s="190"/>
      <c r="B306" s="191" t="s">
        <v>472</v>
      </c>
      <c r="C306" s="190"/>
      <c r="D306" s="190"/>
      <c r="E306" s="190"/>
      <c r="F306" s="190">
        <v>6688.81</v>
      </c>
    </row>
    <row r="307" spans="1:6" ht="47.25">
      <c r="A307" s="13"/>
      <c r="B307" s="3" t="s">
        <v>440</v>
      </c>
      <c r="C307" s="13" t="s">
        <v>251</v>
      </c>
      <c r="D307" s="13"/>
      <c r="E307" s="50"/>
      <c r="F307" s="31">
        <v>91190.4</v>
      </c>
    </row>
    <row r="308" spans="1:6" ht="15.75">
      <c r="A308" s="63"/>
      <c r="B308" s="64" t="s">
        <v>76</v>
      </c>
      <c r="C308" s="65" t="s">
        <v>77</v>
      </c>
      <c r="D308" s="65" t="s">
        <v>77</v>
      </c>
      <c r="E308" s="65" t="s">
        <v>77</v>
      </c>
      <c r="F308" s="66">
        <f>SUM(F304:F307)</f>
        <v>102879.20999999999</v>
      </c>
    </row>
    <row r="309" spans="1:6" ht="15.75">
      <c r="A309" s="108"/>
      <c r="B309" s="109"/>
      <c r="C309" s="110"/>
      <c r="D309" s="110"/>
      <c r="E309" s="110"/>
      <c r="F309" s="111"/>
    </row>
    <row r="310" spans="1:6" ht="15.75">
      <c r="A310" s="108"/>
      <c r="B310" s="109"/>
      <c r="C310" s="110"/>
      <c r="D310" s="110"/>
      <c r="E310" s="110"/>
      <c r="F310" s="111"/>
    </row>
    <row r="311" spans="1:6" ht="15.75">
      <c r="A311" s="229" t="s">
        <v>202</v>
      </c>
      <c r="B311" s="229"/>
      <c r="C311" s="229"/>
      <c r="D311" s="229"/>
      <c r="E311" s="229"/>
      <c r="F311" s="229"/>
    </row>
    <row r="312" spans="1:6" ht="31.5" customHeight="1">
      <c r="A312" s="212" t="s">
        <v>63</v>
      </c>
      <c r="B312" s="212"/>
      <c r="C312" s="242" t="s">
        <v>521</v>
      </c>
      <c r="D312" s="242"/>
      <c r="E312" s="242"/>
      <c r="F312" s="242"/>
    </row>
    <row r="313" spans="1:6" ht="15.75">
      <c r="A313" s="212" t="s">
        <v>64</v>
      </c>
      <c r="B313" s="212"/>
      <c r="C313" s="234" t="s">
        <v>247</v>
      </c>
      <c r="D313" s="234"/>
      <c r="E313" s="234"/>
      <c r="F313" s="234"/>
    </row>
    <row r="314" spans="1:6" ht="15.75">
      <c r="A314" s="249" t="s">
        <v>215</v>
      </c>
      <c r="B314" s="249"/>
      <c r="C314" s="249"/>
      <c r="D314" s="249"/>
      <c r="E314" s="249"/>
      <c r="F314" s="249"/>
    </row>
    <row r="315" spans="1:6" ht="31.5">
      <c r="A315" s="93" t="s">
        <v>66</v>
      </c>
      <c r="B315" s="93" t="s">
        <v>79</v>
      </c>
      <c r="C315" s="93" t="s">
        <v>216</v>
      </c>
      <c r="D315" s="93" t="s">
        <v>186</v>
      </c>
      <c r="E315" s="93" t="s">
        <v>217</v>
      </c>
      <c r="F315" s="93" t="s">
        <v>218</v>
      </c>
    </row>
    <row r="316" spans="1:6" ht="15.75">
      <c r="A316" s="93">
        <v>1</v>
      </c>
      <c r="B316" s="93">
        <v>2</v>
      </c>
      <c r="C316" s="93">
        <v>3</v>
      </c>
      <c r="D316" s="93">
        <v>4</v>
      </c>
      <c r="E316" s="93">
        <v>5</v>
      </c>
      <c r="F316" s="93">
        <v>6</v>
      </c>
    </row>
    <row r="317" spans="1:6" ht="15.75">
      <c r="A317" s="13"/>
      <c r="B317" s="3" t="s">
        <v>219</v>
      </c>
      <c r="C317" s="93" t="s">
        <v>77</v>
      </c>
      <c r="D317" s="93" t="s">
        <v>77</v>
      </c>
      <c r="E317" s="93" t="s">
        <v>77</v>
      </c>
      <c r="F317" s="93" t="s">
        <v>77</v>
      </c>
    </row>
    <row r="318" spans="1:6" ht="31.5">
      <c r="A318" s="13"/>
      <c r="B318" s="3" t="s">
        <v>220</v>
      </c>
      <c r="C318" s="13"/>
      <c r="D318" s="13"/>
      <c r="E318" s="13"/>
      <c r="F318" s="31"/>
    </row>
    <row r="319" spans="1:6" ht="15.75">
      <c r="A319" s="13"/>
      <c r="B319" s="57"/>
      <c r="C319" s="13"/>
      <c r="D319" s="13"/>
      <c r="E319" s="61"/>
      <c r="F319" s="31"/>
    </row>
    <row r="320" spans="1:6" ht="31.5">
      <c r="A320" s="13"/>
      <c r="B320" s="3" t="s">
        <v>246</v>
      </c>
      <c r="C320" s="13" t="s">
        <v>251</v>
      </c>
      <c r="D320" s="13"/>
      <c r="E320" s="50"/>
      <c r="F320" s="31">
        <v>25361.2</v>
      </c>
    </row>
    <row r="321" spans="1:6" ht="31.5">
      <c r="A321" s="13"/>
      <c r="B321" s="3" t="s">
        <v>246</v>
      </c>
      <c r="C321" s="13"/>
      <c r="D321" s="13"/>
      <c r="E321" s="13"/>
      <c r="F321" s="31">
        <v>6280</v>
      </c>
    </row>
    <row r="322" spans="1:6" ht="15.75">
      <c r="A322" s="63"/>
      <c r="B322" s="64" t="s">
        <v>76</v>
      </c>
      <c r="C322" s="65" t="s">
        <v>77</v>
      </c>
      <c r="D322" s="65" t="s">
        <v>77</v>
      </c>
      <c r="E322" s="65" t="s">
        <v>77</v>
      </c>
      <c r="F322" s="66">
        <f>SUM(F318:F321)</f>
        <v>31641.2</v>
      </c>
    </row>
    <row r="323" spans="1:9" ht="15.75">
      <c r="A323" s="1"/>
      <c r="I323" s="78"/>
    </row>
    <row r="324" ht="15.75">
      <c r="A324" s="1"/>
    </row>
    <row r="325" spans="1:6" ht="37.5" customHeight="1">
      <c r="A325" s="252" t="s">
        <v>316</v>
      </c>
      <c r="B325" s="248"/>
      <c r="C325" s="248"/>
      <c r="D325" s="248" t="s">
        <v>317</v>
      </c>
      <c r="E325" s="248"/>
      <c r="F325" s="248"/>
    </row>
    <row r="326" spans="1:6" ht="15.75">
      <c r="A326" s="252" t="s">
        <v>253</v>
      </c>
      <c r="B326" s="248"/>
      <c r="C326" s="248"/>
      <c r="D326" s="248" t="s">
        <v>254</v>
      </c>
      <c r="E326" s="248"/>
      <c r="F326" s="248"/>
    </row>
    <row r="327" spans="1:6" ht="15.75">
      <c r="A327" s="252"/>
      <c r="B327" s="248"/>
      <c r="C327" s="248"/>
      <c r="D327" s="248"/>
      <c r="E327" s="248"/>
      <c r="F327" s="248"/>
    </row>
    <row r="328" ht="15.75">
      <c r="A328" s="5"/>
    </row>
  </sheetData>
  <sheetProtection/>
  <mergeCells count="120">
    <mergeCell ref="C260:E260"/>
    <mergeCell ref="A261:B261"/>
    <mergeCell ref="C261:E261"/>
    <mergeCell ref="C214:D214"/>
    <mergeCell ref="A88:F88"/>
    <mergeCell ref="A63:B63"/>
    <mergeCell ref="C63:E63"/>
    <mergeCell ref="A64:B64"/>
    <mergeCell ref="C86:E86"/>
    <mergeCell ref="A149:E149"/>
    <mergeCell ref="A287:B287"/>
    <mergeCell ref="C287:F287"/>
    <mergeCell ref="C197:D197"/>
    <mergeCell ref="A259:E259"/>
    <mergeCell ref="A260:B260"/>
    <mergeCell ref="C105:E105"/>
    <mergeCell ref="A106:B106"/>
    <mergeCell ref="C106:E106"/>
    <mergeCell ref="A116:F116"/>
    <mergeCell ref="A107:E107"/>
    <mergeCell ref="A1:E1"/>
    <mergeCell ref="A13:E13"/>
    <mergeCell ref="A30:E30"/>
    <mergeCell ref="A16:E16"/>
    <mergeCell ref="A37:E37"/>
    <mergeCell ref="A15:B15"/>
    <mergeCell ref="C15:E15"/>
    <mergeCell ref="A2:B2"/>
    <mergeCell ref="C3:E3"/>
    <mergeCell ref="A14:B14"/>
    <mergeCell ref="A85:E85"/>
    <mergeCell ref="A49:E49"/>
    <mergeCell ref="A50:B50"/>
    <mergeCell ref="C50:E50"/>
    <mergeCell ref="A51:B51"/>
    <mergeCell ref="C51:E51"/>
    <mergeCell ref="C148:E148"/>
    <mergeCell ref="A118:B118"/>
    <mergeCell ref="C118:F118"/>
    <mergeCell ref="C147:E147"/>
    <mergeCell ref="A119:F119"/>
    <mergeCell ref="A105:B105"/>
    <mergeCell ref="A117:B117"/>
    <mergeCell ref="C117:F117"/>
    <mergeCell ref="A174:B174"/>
    <mergeCell ref="C174:D174"/>
    <mergeCell ref="A175:B175"/>
    <mergeCell ref="C175:D175"/>
    <mergeCell ref="C2:E2"/>
    <mergeCell ref="A3:B3"/>
    <mergeCell ref="A104:E104"/>
    <mergeCell ref="A173:D173"/>
    <mergeCell ref="C39:E39"/>
    <mergeCell ref="A75:B75"/>
    <mergeCell ref="A176:D176"/>
    <mergeCell ref="A146:E146"/>
    <mergeCell ref="A147:B147"/>
    <mergeCell ref="A87:B87"/>
    <mergeCell ref="C87:E87"/>
    <mergeCell ref="C38:E38"/>
    <mergeCell ref="A62:E62"/>
    <mergeCell ref="A148:B148"/>
    <mergeCell ref="C75:E75"/>
    <mergeCell ref="A39:B39"/>
    <mergeCell ref="A245:E245"/>
    <mergeCell ref="A195:D195"/>
    <mergeCell ref="A285:F285"/>
    <mergeCell ref="C299:F299"/>
    <mergeCell ref="A325:C325"/>
    <mergeCell ref="D325:F325"/>
    <mergeCell ref="A196:B196"/>
    <mergeCell ref="A246:B246"/>
    <mergeCell ref="A198:B198"/>
    <mergeCell ref="A213:B213"/>
    <mergeCell ref="A288:F288"/>
    <mergeCell ref="A311:F311"/>
    <mergeCell ref="A312:B312"/>
    <mergeCell ref="A314:F314"/>
    <mergeCell ref="C312:F312"/>
    <mergeCell ref="A313:B313"/>
    <mergeCell ref="C313:F313"/>
    <mergeCell ref="A300:F300"/>
    <mergeCell ref="C198:D198"/>
    <mergeCell ref="A199:D199"/>
    <mergeCell ref="A327:C327"/>
    <mergeCell ref="D327:F327"/>
    <mergeCell ref="A271:F271"/>
    <mergeCell ref="A272:B272"/>
    <mergeCell ref="C272:F272"/>
    <mergeCell ref="A273:B273"/>
    <mergeCell ref="A299:B299"/>
    <mergeCell ref="A326:C326"/>
    <mergeCell ref="D326:F326"/>
    <mergeCell ref="A274:F274"/>
    <mergeCell ref="A86:B86"/>
    <mergeCell ref="A212:D212"/>
    <mergeCell ref="C14:E14"/>
    <mergeCell ref="C64:E64"/>
    <mergeCell ref="A74:B74"/>
    <mergeCell ref="C74:E74"/>
    <mergeCell ref="A73:E73"/>
    <mergeCell ref="A38:B38"/>
    <mergeCell ref="C213:D213"/>
    <mergeCell ref="A297:F297"/>
    <mergeCell ref="A298:B298"/>
    <mergeCell ref="C298:F298"/>
    <mergeCell ref="A286:B286"/>
    <mergeCell ref="C286:F286"/>
    <mergeCell ref="C246:E246"/>
    <mergeCell ref="A247:B247"/>
    <mergeCell ref="C247:E247"/>
    <mergeCell ref="C273:F273"/>
    <mergeCell ref="A232:E232"/>
    <mergeCell ref="A233:B233"/>
    <mergeCell ref="C233:E233"/>
    <mergeCell ref="A234:B234"/>
    <mergeCell ref="C234:E234"/>
    <mergeCell ref="A215:B215"/>
    <mergeCell ref="C215:D215"/>
    <mergeCell ref="A216:D216"/>
  </mergeCells>
  <printOptions/>
  <pageMargins left="0.7" right="0.7" top="0.44" bottom="0.42" header="0.3" footer="0.3"/>
  <pageSetup horizontalDpi="600" verticalDpi="600" orientation="portrait" paperSize="9" scale="85" r:id="rId1"/>
  <rowBreaks count="1" manualBreakCount="1">
    <brk id="3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25"/>
  <sheetViews>
    <sheetView tabSelected="1" view="pageBreakPreview" zoomScale="80" zoomScaleSheetLayoutView="80" zoomScalePageLayoutView="0" workbookViewId="0" topLeftCell="A1">
      <pane xSplit="3" ySplit="9" topLeftCell="D5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23" sqref="F123"/>
    </sheetView>
  </sheetViews>
  <sheetFormatPr defaultColWidth="9.140625" defaultRowHeight="15"/>
  <cols>
    <col min="1" max="1" width="34.7109375" style="15" customWidth="1"/>
    <col min="2" max="2" width="9.140625" style="15" customWidth="1"/>
    <col min="3" max="3" width="34.00390625" style="24" customWidth="1"/>
    <col min="4" max="4" width="23.7109375" style="15" customWidth="1"/>
    <col min="5" max="5" width="20.7109375" style="15" customWidth="1"/>
    <col min="6" max="6" width="21.00390625" style="15" customWidth="1"/>
    <col min="7" max="7" width="14.57421875" style="15" customWidth="1"/>
    <col min="8" max="8" width="7.57421875" style="15" customWidth="1"/>
    <col min="9" max="9" width="16.7109375" style="15" customWidth="1"/>
    <col min="10" max="10" width="7.28125" style="15" customWidth="1"/>
    <col min="11" max="11" width="23.421875" style="15" customWidth="1"/>
    <col min="12" max="16384" width="9.140625" style="15" customWidth="1"/>
  </cols>
  <sheetData>
    <row r="1" ht="15.75">
      <c r="A1" s="2"/>
    </row>
    <row r="2" spans="1:9" ht="15.75">
      <c r="A2" s="2" t="s">
        <v>0</v>
      </c>
      <c r="I2" s="1" t="s">
        <v>1</v>
      </c>
    </row>
    <row r="3" spans="1:10" ht="15.75">
      <c r="A3" s="209" t="s">
        <v>2</v>
      </c>
      <c r="B3" s="209" t="s">
        <v>3</v>
      </c>
      <c r="C3" s="220" t="s">
        <v>116</v>
      </c>
      <c r="D3" s="212" t="s">
        <v>4</v>
      </c>
      <c r="E3" s="212"/>
      <c r="F3" s="212"/>
      <c r="G3" s="212"/>
      <c r="H3" s="212"/>
      <c r="I3" s="212"/>
      <c r="J3" s="212"/>
    </row>
    <row r="4" spans="1:10" ht="16.5" customHeight="1">
      <c r="A4" s="210"/>
      <c r="B4" s="210"/>
      <c r="C4" s="221"/>
      <c r="D4" s="223" t="s">
        <v>125</v>
      </c>
      <c r="E4" s="212" t="s">
        <v>6</v>
      </c>
      <c r="F4" s="212"/>
      <c r="G4" s="212"/>
      <c r="H4" s="212"/>
      <c r="I4" s="212"/>
      <c r="J4" s="212"/>
    </row>
    <row r="5" spans="1:10" ht="15" customHeight="1">
      <c r="A5" s="210"/>
      <c r="B5" s="210"/>
      <c r="C5" s="221"/>
      <c r="D5" s="223"/>
      <c r="E5" s="213" t="s">
        <v>28</v>
      </c>
      <c r="F5" s="213" t="s">
        <v>29</v>
      </c>
      <c r="G5" s="213" t="s">
        <v>30</v>
      </c>
      <c r="H5" s="213" t="s">
        <v>31</v>
      </c>
      <c r="I5" s="213" t="s">
        <v>121</v>
      </c>
      <c r="J5" s="213"/>
    </row>
    <row r="6" spans="1:10" ht="95.25" customHeight="1">
      <c r="A6" s="211"/>
      <c r="B6" s="211"/>
      <c r="C6" s="222"/>
      <c r="D6" s="223"/>
      <c r="E6" s="213"/>
      <c r="F6" s="213"/>
      <c r="G6" s="213"/>
      <c r="H6" s="213"/>
      <c r="I6" s="213"/>
      <c r="J6" s="213"/>
    </row>
    <row r="7" spans="1:10" ht="30">
      <c r="A7" s="3"/>
      <c r="B7" s="3"/>
      <c r="C7" s="25"/>
      <c r="D7" s="3"/>
      <c r="E7" s="17"/>
      <c r="F7" s="17"/>
      <c r="G7" s="17"/>
      <c r="H7" s="17"/>
      <c r="I7" s="4" t="s">
        <v>5</v>
      </c>
      <c r="J7" s="4" t="s">
        <v>7</v>
      </c>
    </row>
    <row r="8" spans="1:10" ht="15.75">
      <c r="A8" s="10">
        <v>1</v>
      </c>
      <c r="B8" s="10">
        <v>2</v>
      </c>
      <c r="C8" s="21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39.75" customHeight="1">
      <c r="A9" s="53" t="s">
        <v>8</v>
      </c>
      <c r="B9" s="54">
        <v>100</v>
      </c>
      <c r="C9" s="55" t="s">
        <v>9</v>
      </c>
      <c r="D9" s="56">
        <f>E9+F9+G9+H9+I9+J9</f>
        <v>75575074.92000002</v>
      </c>
      <c r="E9" s="56">
        <f>E12+E13+E14</f>
        <v>64795224.00000001</v>
      </c>
      <c r="F9" s="56">
        <f>F31+F32+F34+F23+F24+F19+F20+F22+F25+F33+F35+F36+F21+F26+F29+F40+F41+F27+F28+F30+F37+F39+F42+F43+F38</f>
        <v>10575290.920000002</v>
      </c>
      <c r="G9" s="56">
        <f>G31</f>
        <v>0</v>
      </c>
      <c r="H9" s="56">
        <f>H12</f>
        <v>0</v>
      </c>
      <c r="I9" s="56">
        <f>I10+I12+I17+I18+I46+I44+I15+I16+I45</f>
        <v>204560</v>
      </c>
      <c r="J9" s="56">
        <f>J12+J44</f>
        <v>0</v>
      </c>
    </row>
    <row r="10" spans="1:10" ht="55.5" customHeight="1">
      <c r="A10" s="3" t="s">
        <v>10</v>
      </c>
      <c r="B10" s="10">
        <v>110</v>
      </c>
      <c r="C10" s="26"/>
      <c r="D10" s="23">
        <f>I10</f>
        <v>0</v>
      </c>
      <c r="E10" s="27" t="s">
        <v>9</v>
      </c>
      <c r="F10" s="27" t="s">
        <v>9</v>
      </c>
      <c r="G10" s="27" t="s">
        <v>9</v>
      </c>
      <c r="H10" s="27" t="s">
        <v>9</v>
      </c>
      <c r="I10" s="23"/>
      <c r="J10" s="27" t="s">
        <v>9</v>
      </c>
    </row>
    <row r="11" spans="1:10" ht="15.75">
      <c r="A11" s="11"/>
      <c r="B11" s="11"/>
      <c r="C11" s="26"/>
      <c r="D11" s="23"/>
      <c r="E11" s="23"/>
      <c r="F11" s="23"/>
      <c r="G11" s="23"/>
      <c r="H11" s="23"/>
      <c r="I11" s="23"/>
      <c r="J11" s="23"/>
    </row>
    <row r="12" spans="1:10" ht="54.75" customHeight="1">
      <c r="A12" s="3" t="s">
        <v>122</v>
      </c>
      <c r="B12" s="10">
        <v>120</v>
      </c>
      <c r="C12" s="26" t="s">
        <v>231</v>
      </c>
      <c r="D12" s="23">
        <f>E12</f>
        <v>60869579.21</v>
      </c>
      <c r="E12" s="23">
        <v>60869579.21</v>
      </c>
      <c r="F12" s="27" t="s">
        <v>9</v>
      </c>
      <c r="G12" s="27" t="s">
        <v>9</v>
      </c>
      <c r="H12" s="23"/>
      <c r="I12" s="23"/>
      <c r="J12" s="23"/>
    </row>
    <row r="13" spans="1:10" ht="54.75" customHeight="1">
      <c r="A13" s="3" t="s">
        <v>328</v>
      </c>
      <c r="B13" s="124">
        <v>120</v>
      </c>
      <c r="C13" s="26" t="s">
        <v>329</v>
      </c>
      <c r="D13" s="125">
        <f>E13</f>
        <v>2858963.2</v>
      </c>
      <c r="E13" s="125">
        <v>2858963.2</v>
      </c>
      <c r="F13" s="27" t="s">
        <v>9</v>
      </c>
      <c r="G13" s="27" t="s">
        <v>9</v>
      </c>
      <c r="H13" s="125"/>
      <c r="I13" s="125"/>
      <c r="J13" s="125"/>
    </row>
    <row r="14" spans="1:10" ht="54.75" customHeight="1">
      <c r="A14" s="3" t="s">
        <v>359</v>
      </c>
      <c r="B14" s="149">
        <v>120</v>
      </c>
      <c r="C14" s="26" t="s">
        <v>360</v>
      </c>
      <c r="D14" s="148">
        <f>E14</f>
        <v>1066681.59</v>
      </c>
      <c r="E14" s="148">
        <v>1066681.59</v>
      </c>
      <c r="F14" s="27" t="s">
        <v>9</v>
      </c>
      <c r="G14" s="27" t="s">
        <v>9</v>
      </c>
      <c r="H14" s="148"/>
      <c r="I14" s="148"/>
      <c r="J14" s="148"/>
    </row>
    <row r="15" spans="1:10" ht="31.5">
      <c r="A15" s="3" t="s">
        <v>123</v>
      </c>
      <c r="B15" s="20">
        <v>120</v>
      </c>
      <c r="C15" s="26" t="s">
        <v>232</v>
      </c>
      <c r="D15" s="23">
        <f>I15</f>
        <v>0</v>
      </c>
      <c r="E15" s="23"/>
      <c r="F15" s="27" t="s">
        <v>9</v>
      </c>
      <c r="G15" s="27" t="s">
        <v>9</v>
      </c>
      <c r="H15" s="23"/>
      <c r="I15" s="23"/>
      <c r="J15" s="23"/>
    </row>
    <row r="16" spans="1:10" ht="31.5">
      <c r="A16" s="3" t="s">
        <v>123</v>
      </c>
      <c r="B16" s="149">
        <v>120</v>
      </c>
      <c r="C16" s="26" t="s">
        <v>361</v>
      </c>
      <c r="D16" s="148">
        <f>I16</f>
        <v>0</v>
      </c>
      <c r="E16" s="148"/>
      <c r="F16" s="27" t="s">
        <v>9</v>
      </c>
      <c r="G16" s="27" t="s">
        <v>9</v>
      </c>
      <c r="H16" s="148"/>
      <c r="I16" s="148"/>
      <c r="J16" s="148"/>
    </row>
    <row r="17" spans="1:10" ht="90" customHeight="1">
      <c r="A17" s="3" t="s">
        <v>32</v>
      </c>
      <c r="B17" s="10">
        <v>130</v>
      </c>
      <c r="C17" s="26"/>
      <c r="D17" s="23">
        <f>I17</f>
        <v>0</v>
      </c>
      <c r="E17" s="27" t="s">
        <v>9</v>
      </c>
      <c r="F17" s="27" t="s">
        <v>9</v>
      </c>
      <c r="G17" s="27" t="s">
        <v>9</v>
      </c>
      <c r="H17" s="27" t="s">
        <v>9</v>
      </c>
      <c r="I17" s="23"/>
      <c r="J17" s="27" t="s">
        <v>9</v>
      </c>
    </row>
    <row r="18" spans="1:10" ht="94.5">
      <c r="A18" s="3" t="s">
        <v>33</v>
      </c>
      <c r="B18" s="10">
        <v>140</v>
      </c>
      <c r="C18" s="26"/>
      <c r="D18" s="23">
        <f>I18</f>
        <v>0</v>
      </c>
      <c r="E18" s="27" t="s">
        <v>9</v>
      </c>
      <c r="F18" s="27" t="s">
        <v>9</v>
      </c>
      <c r="G18" s="27" t="s">
        <v>9</v>
      </c>
      <c r="H18" s="27" t="s">
        <v>9</v>
      </c>
      <c r="I18" s="23"/>
      <c r="J18" s="27" t="s">
        <v>9</v>
      </c>
    </row>
    <row r="19" spans="1:10" ht="54.75" customHeight="1">
      <c r="A19" s="3" t="s">
        <v>362</v>
      </c>
      <c r="B19" s="152">
        <v>120</v>
      </c>
      <c r="C19" s="26" t="s">
        <v>363</v>
      </c>
      <c r="D19" s="150">
        <f>E19+F19+G19+H19+I19+J19</f>
        <v>195995.75</v>
      </c>
      <c r="E19" s="150"/>
      <c r="F19" s="203">
        <v>195995.75</v>
      </c>
      <c r="G19" s="44"/>
      <c r="H19" s="150"/>
      <c r="I19" s="150"/>
      <c r="J19" s="150"/>
    </row>
    <row r="20" spans="1:10" ht="54.75" customHeight="1">
      <c r="A20" s="3" t="s">
        <v>332</v>
      </c>
      <c r="B20" s="152">
        <v>120</v>
      </c>
      <c r="C20" s="26" t="s">
        <v>337</v>
      </c>
      <c r="D20" s="150">
        <f>E20+F20+G20+H20+I20+J20</f>
        <v>0</v>
      </c>
      <c r="E20" s="150"/>
      <c r="F20" s="203"/>
      <c r="G20" s="44"/>
      <c r="H20" s="150"/>
      <c r="I20" s="150"/>
      <c r="J20" s="150"/>
    </row>
    <row r="21" spans="1:10" ht="63">
      <c r="A21" s="3" t="s">
        <v>381</v>
      </c>
      <c r="B21" s="159">
        <v>150</v>
      </c>
      <c r="C21" s="26" t="s">
        <v>422</v>
      </c>
      <c r="D21" s="158">
        <f>F21</f>
        <v>178607.72</v>
      </c>
      <c r="E21" s="27" t="s">
        <v>9</v>
      </c>
      <c r="F21" s="203">
        <v>178607.72</v>
      </c>
      <c r="G21" s="158"/>
      <c r="H21" s="27" t="s">
        <v>9</v>
      </c>
      <c r="I21" s="27" t="s">
        <v>9</v>
      </c>
      <c r="J21" s="27" t="s">
        <v>9</v>
      </c>
    </row>
    <row r="22" spans="1:10" ht="63" hidden="1">
      <c r="A22" s="3" t="s">
        <v>340</v>
      </c>
      <c r="B22" s="152">
        <v>150</v>
      </c>
      <c r="C22" s="26" t="s">
        <v>341</v>
      </c>
      <c r="D22" s="150">
        <f>F22</f>
        <v>0</v>
      </c>
      <c r="E22" s="27" t="s">
        <v>9</v>
      </c>
      <c r="F22" s="203"/>
      <c r="G22" s="150"/>
      <c r="H22" s="27" t="s">
        <v>9</v>
      </c>
      <c r="I22" s="27" t="s">
        <v>9</v>
      </c>
      <c r="J22" s="27" t="s">
        <v>9</v>
      </c>
    </row>
    <row r="23" spans="1:10" ht="54.75" customHeight="1" hidden="1">
      <c r="A23" s="3" t="s">
        <v>348</v>
      </c>
      <c r="B23" s="138">
        <v>120</v>
      </c>
      <c r="C23" s="26" t="s">
        <v>349</v>
      </c>
      <c r="D23" s="137">
        <f>E23+F23+G23+H23+I23+J23</f>
        <v>0</v>
      </c>
      <c r="E23" s="137"/>
      <c r="F23" s="203"/>
      <c r="G23" s="44"/>
      <c r="H23" s="137"/>
      <c r="I23" s="137"/>
      <c r="J23" s="137"/>
    </row>
    <row r="24" spans="1:10" ht="54.75" customHeight="1" hidden="1">
      <c r="A24" s="3" t="s">
        <v>351</v>
      </c>
      <c r="B24" s="138">
        <v>120</v>
      </c>
      <c r="C24" s="26" t="s">
        <v>352</v>
      </c>
      <c r="D24" s="137">
        <f>E24+F24+G24+H24+I24+J24</f>
        <v>0</v>
      </c>
      <c r="E24" s="137"/>
      <c r="F24" s="203"/>
      <c r="G24" s="44"/>
      <c r="H24" s="137"/>
      <c r="I24" s="137"/>
      <c r="J24" s="137"/>
    </row>
    <row r="25" spans="1:10" ht="54.75" customHeight="1" hidden="1">
      <c r="A25" s="3" t="s">
        <v>364</v>
      </c>
      <c r="B25" s="152">
        <v>120</v>
      </c>
      <c r="C25" s="26" t="s">
        <v>365</v>
      </c>
      <c r="D25" s="150">
        <f>E25+F25+G25+H25+I25+J25</f>
        <v>0</v>
      </c>
      <c r="E25" s="150"/>
      <c r="F25" s="203"/>
      <c r="G25" s="44"/>
      <c r="H25" s="150"/>
      <c r="I25" s="150"/>
      <c r="J25" s="150"/>
    </row>
    <row r="26" spans="1:10" ht="63">
      <c r="A26" s="3" t="s">
        <v>420</v>
      </c>
      <c r="B26" s="178">
        <v>150</v>
      </c>
      <c r="C26" s="26" t="s">
        <v>421</v>
      </c>
      <c r="D26" s="177">
        <f aca="true" t="shared" si="0" ref="D26:D34">F26</f>
        <v>91190.4</v>
      </c>
      <c r="E26" s="27" t="s">
        <v>9</v>
      </c>
      <c r="F26" s="203">
        <v>91190.4</v>
      </c>
      <c r="G26" s="177"/>
      <c r="H26" s="27" t="s">
        <v>9</v>
      </c>
      <c r="I26" s="27" t="s">
        <v>9</v>
      </c>
      <c r="J26" s="27" t="s">
        <v>9</v>
      </c>
    </row>
    <row r="27" spans="1:10" ht="63">
      <c r="A27" s="3" t="s">
        <v>445</v>
      </c>
      <c r="B27" s="183">
        <v>150</v>
      </c>
      <c r="C27" s="26" t="s">
        <v>341</v>
      </c>
      <c r="D27" s="182">
        <f>F27</f>
        <v>874660</v>
      </c>
      <c r="E27" s="27" t="s">
        <v>9</v>
      </c>
      <c r="F27" s="161">
        <v>874660</v>
      </c>
      <c r="G27" s="182"/>
      <c r="H27" s="27" t="s">
        <v>9</v>
      </c>
      <c r="I27" s="27" t="s">
        <v>9</v>
      </c>
      <c r="J27" s="27" t="s">
        <v>9</v>
      </c>
    </row>
    <row r="28" spans="1:10" ht="63">
      <c r="A28" s="3" t="s">
        <v>473</v>
      </c>
      <c r="B28" s="187">
        <v>150</v>
      </c>
      <c r="C28" s="26" t="s">
        <v>349</v>
      </c>
      <c r="D28" s="185">
        <f>F28</f>
        <v>231792.19</v>
      </c>
      <c r="E28" s="27" t="s">
        <v>9</v>
      </c>
      <c r="F28" s="161">
        <v>231792.19</v>
      </c>
      <c r="G28" s="185"/>
      <c r="H28" s="27" t="s">
        <v>9</v>
      </c>
      <c r="I28" s="27" t="s">
        <v>9</v>
      </c>
      <c r="J28" s="27" t="s">
        <v>9</v>
      </c>
    </row>
    <row r="29" spans="1:10" ht="63">
      <c r="A29" s="3" t="s">
        <v>419</v>
      </c>
      <c r="B29" s="178">
        <v>150</v>
      </c>
      <c r="C29" s="26" t="s">
        <v>352</v>
      </c>
      <c r="D29" s="177">
        <f t="shared" si="0"/>
        <v>4844473.43</v>
      </c>
      <c r="E29" s="27" t="s">
        <v>9</v>
      </c>
      <c r="F29" s="161">
        <v>4844473.43</v>
      </c>
      <c r="G29" s="177"/>
      <c r="H29" s="27" t="s">
        <v>9</v>
      </c>
      <c r="I29" s="27" t="s">
        <v>9</v>
      </c>
      <c r="J29" s="27" t="s">
        <v>9</v>
      </c>
    </row>
    <row r="30" spans="1:10" ht="63">
      <c r="A30" s="3" t="s">
        <v>474</v>
      </c>
      <c r="B30" s="187">
        <v>150</v>
      </c>
      <c r="C30" s="26" t="s">
        <v>475</v>
      </c>
      <c r="D30" s="185">
        <f>F30</f>
        <v>5000</v>
      </c>
      <c r="E30" s="27" t="s">
        <v>9</v>
      </c>
      <c r="F30" s="161">
        <v>5000</v>
      </c>
      <c r="G30" s="185"/>
      <c r="H30" s="27" t="s">
        <v>9</v>
      </c>
      <c r="I30" s="27" t="s">
        <v>9</v>
      </c>
      <c r="J30" s="27" t="s">
        <v>9</v>
      </c>
    </row>
    <row r="31" spans="1:10" ht="63">
      <c r="A31" s="3" t="s">
        <v>124</v>
      </c>
      <c r="B31" s="10">
        <v>150</v>
      </c>
      <c r="C31" s="26" t="s">
        <v>230</v>
      </c>
      <c r="D31" s="23">
        <f t="shared" si="0"/>
        <v>1600000</v>
      </c>
      <c r="E31" s="27" t="s">
        <v>9</v>
      </c>
      <c r="F31" s="161">
        <v>1600000</v>
      </c>
      <c r="G31" s="23"/>
      <c r="H31" s="27" t="s">
        <v>9</v>
      </c>
      <c r="I31" s="27" t="s">
        <v>9</v>
      </c>
      <c r="J31" s="27" t="s">
        <v>9</v>
      </c>
    </row>
    <row r="32" spans="1:10" ht="63" hidden="1">
      <c r="A32" s="3" t="s">
        <v>338</v>
      </c>
      <c r="B32" s="138">
        <v>150</v>
      </c>
      <c r="C32" s="26" t="s">
        <v>339</v>
      </c>
      <c r="D32" s="137">
        <f t="shared" si="0"/>
        <v>0</v>
      </c>
      <c r="E32" s="27" t="s">
        <v>9</v>
      </c>
      <c r="F32" s="161"/>
      <c r="G32" s="137"/>
      <c r="H32" s="27" t="s">
        <v>9</v>
      </c>
      <c r="I32" s="27" t="s">
        <v>9</v>
      </c>
      <c r="J32" s="27" t="s">
        <v>9</v>
      </c>
    </row>
    <row r="33" spans="1:10" ht="15.75" hidden="1">
      <c r="A33" s="3" t="s">
        <v>366</v>
      </c>
      <c r="B33" s="152">
        <v>150</v>
      </c>
      <c r="C33" s="26" t="s">
        <v>367</v>
      </c>
      <c r="D33" s="150">
        <f t="shared" si="0"/>
        <v>0</v>
      </c>
      <c r="E33" s="27" t="s">
        <v>9</v>
      </c>
      <c r="F33" s="161"/>
      <c r="G33" s="150"/>
      <c r="H33" s="27" t="s">
        <v>9</v>
      </c>
      <c r="I33" s="27" t="s">
        <v>9</v>
      </c>
      <c r="J33" s="27" t="s">
        <v>9</v>
      </c>
    </row>
    <row r="34" spans="1:10" ht="63" hidden="1">
      <c r="A34" s="3" t="s">
        <v>343</v>
      </c>
      <c r="B34" s="138">
        <v>150</v>
      </c>
      <c r="C34" s="26" t="s">
        <v>342</v>
      </c>
      <c r="D34" s="137">
        <f t="shared" si="0"/>
        <v>0</v>
      </c>
      <c r="E34" s="27" t="s">
        <v>9</v>
      </c>
      <c r="F34" s="161"/>
      <c r="G34" s="137"/>
      <c r="H34" s="27" t="s">
        <v>9</v>
      </c>
      <c r="I34" s="27" t="s">
        <v>9</v>
      </c>
      <c r="J34" s="27" t="s">
        <v>9</v>
      </c>
    </row>
    <row r="35" spans="1:10" ht="63" hidden="1">
      <c r="A35" s="3" t="s">
        <v>379</v>
      </c>
      <c r="B35" s="20">
        <v>150</v>
      </c>
      <c r="C35" s="26" t="s">
        <v>378</v>
      </c>
      <c r="D35" s="23">
        <f>F35+G35</f>
        <v>0</v>
      </c>
      <c r="E35" s="27" t="s">
        <v>9</v>
      </c>
      <c r="F35" s="161"/>
      <c r="G35" s="23"/>
      <c r="H35" s="27" t="s">
        <v>9</v>
      </c>
      <c r="I35" s="27" t="s">
        <v>9</v>
      </c>
      <c r="J35" s="27" t="s">
        <v>9</v>
      </c>
    </row>
    <row r="36" spans="1:10" ht="63" hidden="1">
      <c r="A36" s="3" t="s">
        <v>380</v>
      </c>
      <c r="B36" s="159">
        <v>150</v>
      </c>
      <c r="C36" s="26" t="s">
        <v>385</v>
      </c>
      <c r="D36" s="158">
        <f>F36+G36</f>
        <v>0</v>
      </c>
      <c r="E36" s="27" t="s">
        <v>9</v>
      </c>
      <c r="F36" s="161"/>
      <c r="G36" s="158"/>
      <c r="H36" s="27" t="s">
        <v>9</v>
      </c>
      <c r="I36" s="27" t="s">
        <v>9</v>
      </c>
      <c r="J36" s="27" t="s">
        <v>9</v>
      </c>
    </row>
    <row r="37" spans="1:10" ht="63">
      <c r="A37" s="3" t="s">
        <v>476</v>
      </c>
      <c r="B37" s="187">
        <v>150</v>
      </c>
      <c r="C37" s="26" t="s">
        <v>339</v>
      </c>
      <c r="D37" s="185">
        <f aca="true" t="shared" si="1" ref="D37:D43">F37</f>
        <v>13500</v>
      </c>
      <c r="E37" s="27" t="s">
        <v>9</v>
      </c>
      <c r="F37" s="161">
        <v>13500</v>
      </c>
      <c r="G37" s="185"/>
      <c r="H37" s="27" t="s">
        <v>9</v>
      </c>
      <c r="I37" s="27" t="s">
        <v>9</v>
      </c>
      <c r="J37" s="27" t="s">
        <v>9</v>
      </c>
    </row>
    <row r="38" spans="1:10" ht="63">
      <c r="A38" s="3" t="s">
        <v>513</v>
      </c>
      <c r="B38" s="201">
        <v>150</v>
      </c>
      <c r="C38" s="26" t="s">
        <v>339</v>
      </c>
      <c r="D38" s="197">
        <f>F38</f>
        <v>72679.88</v>
      </c>
      <c r="E38" s="27" t="s">
        <v>9</v>
      </c>
      <c r="F38" s="161">
        <v>72679.88</v>
      </c>
      <c r="G38" s="197"/>
      <c r="H38" s="27" t="s">
        <v>9</v>
      </c>
      <c r="I38" s="27" t="s">
        <v>9</v>
      </c>
      <c r="J38" s="27" t="s">
        <v>9</v>
      </c>
    </row>
    <row r="39" spans="1:10" ht="63">
      <c r="A39" s="3" t="s">
        <v>477</v>
      </c>
      <c r="B39" s="187">
        <v>150</v>
      </c>
      <c r="C39" s="26" t="s">
        <v>367</v>
      </c>
      <c r="D39" s="185">
        <f t="shared" si="1"/>
        <v>2172458</v>
      </c>
      <c r="E39" s="27" t="s">
        <v>9</v>
      </c>
      <c r="F39" s="161">
        <v>2172458</v>
      </c>
      <c r="G39" s="185"/>
      <c r="H39" s="27" t="s">
        <v>9</v>
      </c>
      <c r="I39" s="27" t="s">
        <v>9</v>
      </c>
      <c r="J39" s="27" t="s">
        <v>9</v>
      </c>
    </row>
    <row r="40" spans="1:10" ht="63">
      <c r="A40" s="3" t="s">
        <v>423</v>
      </c>
      <c r="B40" s="178">
        <v>150</v>
      </c>
      <c r="C40" s="26" t="s">
        <v>424</v>
      </c>
      <c r="D40" s="177">
        <f t="shared" si="1"/>
        <v>30425.16</v>
      </c>
      <c r="E40" s="27" t="s">
        <v>9</v>
      </c>
      <c r="F40" s="161">
        <v>30425.16</v>
      </c>
      <c r="G40" s="177"/>
      <c r="H40" s="27" t="s">
        <v>9</v>
      </c>
      <c r="I40" s="27" t="s">
        <v>9</v>
      </c>
      <c r="J40" s="27" t="s">
        <v>9</v>
      </c>
    </row>
    <row r="41" spans="1:10" ht="63">
      <c r="A41" s="3" t="s">
        <v>425</v>
      </c>
      <c r="B41" s="178">
        <v>150</v>
      </c>
      <c r="C41" s="26" t="s">
        <v>426</v>
      </c>
      <c r="D41" s="177">
        <f t="shared" si="1"/>
        <v>190650</v>
      </c>
      <c r="E41" s="27" t="s">
        <v>9</v>
      </c>
      <c r="F41" s="161">
        <v>190650</v>
      </c>
      <c r="G41" s="177"/>
      <c r="H41" s="27" t="s">
        <v>9</v>
      </c>
      <c r="I41" s="27" t="s">
        <v>9</v>
      </c>
      <c r="J41" s="27" t="s">
        <v>9</v>
      </c>
    </row>
    <row r="42" spans="1:10" ht="63">
      <c r="A42" s="3" t="s">
        <v>478</v>
      </c>
      <c r="B42" s="187">
        <v>150</v>
      </c>
      <c r="C42" s="26" t="s">
        <v>479</v>
      </c>
      <c r="D42" s="185">
        <f t="shared" si="1"/>
        <v>57600</v>
      </c>
      <c r="E42" s="27" t="s">
        <v>9</v>
      </c>
      <c r="F42" s="161">
        <v>57600</v>
      </c>
      <c r="G42" s="185"/>
      <c r="H42" s="27" t="s">
        <v>9</v>
      </c>
      <c r="I42" s="27" t="s">
        <v>9</v>
      </c>
      <c r="J42" s="27" t="s">
        <v>9</v>
      </c>
    </row>
    <row r="43" spans="1:10" ht="63">
      <c r="A43" s="3" t="s">
        <v>480</v>
      </c>
      <c r="B43" s="187">
        <v>150</v>
      </c>
      <c r="C43" s="26" t="s">
        <v>481</v>
      </c>
      <c r="D43" s="185">
        <f t="shared" si="1"/>
        <v>16258.39</v>
      </c>
      <c r="E43" s="27" t="s">
        <v>9</v>
      </c>
      <c r="F43" s="161">
        <v>16258.39</v>
      </c>
      <c r="G43" s="185"/>
      <c r="H43" s="27" t="s">
        <v>9</v>
      </c>
      <c r="I43" s="27" t="s">
        <v>9</v>
      </c>
      <c r="J43" s="27" t="s">
        <v>9</v>
      </c>
    </row>
    <row r="44" spans="1:10" ht="45.75" customHeight="1">
      <c r="A44" s="3" t="s">
        <v>518</v>
      </c>
      <c r="B44" s="10">
        <v>160</v>
      </c>
      <c r="C44" s="26" t="s">
        <v>520</v>
      </c>
      <c r="D44" s="23">
        <f>I44</f>
        <v>154560</v>
      </c>
      <c r="E44" s="27" t="s">
        <v>9</v>
      </c>
      <c r="F44" s="27" t="s">
        <v>9</v>
      </c>
      <c r="G44" s="27" t="s">
        <v>9</v>
      </c>
      <c r="H44" s="27" t="s">
        <v>9</v>
      </c>
      <c r="I44" s="23">
        <f>164344.01-9784.01</f>
        <v>154560</v>
      </c>
      <c r="J44" s="23"/>
    </row>
    <row r="45" spans="1:10" ht="45.75" customHeight="1">
      <c r="A45" s="3" t="s">
        <v>519</v>
      </c>
      <c r="B45" s="201">
        <v>160</v>
      </c>
      <c r="C45" s="26" t="s">
        <v>361</v>
      </c>
      <c r="D45" s="197">
        <f>I45</f>
        <v>50000</v>
      </c>
      <c r="E45" s="27" t="s">
        <v>9</v>
      </c>
      <c r="F45" s="27" t="s">
        <v>9</v>
      </c>
      <c r="G45" s="27" t="s">
        <v>9</v>
      </c>
      <c r="H45" s="27" t="s">
        <v>9</v>
      </c>
      <c r="I45" s="197">
        <v>50000</v>
      </c>
      <c r="J45" s="197"/>
    </row>
    <row r="46" spans="1:10" ht="15.75">
      <c r="A46" s="3" t="s">
        <v>11</v>
      </c>
      <c r="B46" s="10">
        <v>180</v>
      </c>
      <c r="C46" s="21" t="s">
        <v>9</v>
      </c>
      <c r="D46" s="23">
        <f>I46</f>
        <v>0</v>
      </c>
      <c r="E46" s="27" t="s">
        <v>9</v>
      </c>
      <c r="F46" s="27" t="s">
        <v>9</v>
      </c>
      <c r="G46" s="27" t="s">
        <v>9</v>
      </c>
      <c r="H46" s="27" t="s">
        <v>9</v>
      </c>
      <c r="I46" s="23"/>
      <c r="J46" s="27" t="s">
        <v>9</v>
      </c>
    </row>
    <row r="47" spans="1:10" ht="15.75">
      <c r="A47" s="11"/>
      <c r="B47" s="11"/>
      <c r="C47" s="26"/>
      <c r="D47" s="23"/>
      <c r="E47" s="23"/>
      <c r="F47" s="23"/>
      <c r="G47" s="23"/>
      <c r="H47" s="23"/>
      <c r="I47" s="23"/>
      <c r="J47" s="23"/>
    </row>
    <row r="48" spans="1:19" s="36" customFormat="1" ht="38.25" customHeight="1">
      <c r="A48" s="53" t="s">
        <v>12</v>
      </c>
      <c r="B48" s="54">
        <v>200</v>
      </c>
      <c r="C48" s="55" t="s">
        <v>9</v>
      </c>
      <c r="D48" s="56">
        <f>E48+F48+G48+H48+I48+J48</f>
        <v>75829923.96841015</v>
      </c>
      <c r="E48" s="56">
        <f aca="true" t="shared" si="2" ref="E48:J48">E49+E69+E70+E78+E79+E115+E117+E118+E120</f>
        <v>65040289.03571015</v>
      </c>
      <c r="F48" s="56">
        <f t="shared" si="2"/>
        <v>10575290.9187</v>
      </c>
      <c r="G48" s="56">
        <f t="shared" si="2"/>
        <v>0</v>
      </c>
      <c r="H48" s="56">
        <f t="shared" si="2"/>
        <v>0</v>
      </c>
      <c r="I48" s="56">
        <f t="shared" si="2"/>
        <v>214344.014</v>
      </c>
      <c r="J48" s="56">
        <f t="shared" si="2"/>
        <v>0</v>
      </c>
      <c r="K48" s="196">
        <f>E48-E9</f>
        <v>245065.03571014106</v>
      </c>
      <c r="L48" s="129"/>
      <c r="M48" s="129"/>
      <c r="N48" s="129"/>
      <c r="O48" s="129"/>
      <c r="P48" s="129"/>
      <c r="Q48" s="129"/>
      <c r="R48" s="129"/>
      <c r="S48" s="129"/>
    </row>
    <row r="49" spans="1:19" s="36" customFormat="1" ht="57.75" customHeight="1">
      <c r="A49" s="34" t="s">
        <v>13</v>
      </c>
      <c r="B49" s="35">
        <v>210</v>
      </c>
      <c r="C49" s="91" t="s">
        <v>9</v>
      </c>
      <c r="D49" s="52">
        <f>E49+F49+G49+H49+I49</f>
        <v>50081157.52672</v>
      </c>
      <c r="E49" s="169">
        <f>E50+E65+E63</f>
        <v>43014030.04802</v>
      </c>
      <c r="F49" s="52">
        <f>F50+F63+F64</f>
        <v>7067127.478700001</v>
      </c>
      <c r="G49" s="52">
        <f>G50+G65+G63</f>
        <v>0</v>
      </c>
      <c r="H49" s="52">
        <f>H50+H65+H63</f>
        <v>0</v>
      </c>
      <c r="I49" s="52">
        <f>I50+I65+I63</f>
        <v>0</v>
      </c>
      <c r="J49" s="52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1:19" s="36" customFormat="1" ht="15.75" customHeight="1">
      <c r="A50" s="34" t="s">
        <v>14</v>
      </c>
      <c r="B50" s="215">
        <v>211</v>
      </c>
      <c r="C50" s="216" t="s">
        <v>9</v>
      </c>
      <c r="D50" s="218">
        <f>E50+F50+G50+H50+I50</f>
        <v>48222549.806719996</v>
      </c>
      <c r="E50" s="214">
        <f>E52+E53+E55+E56+E54</f>
        <v>42934030.04802</v>
      </c>
      <c r="F50" s="214">
        <f>F52+F53+F57+F58+F60+F62+F59+F61</f>
        <v>5288519.758700001</v>
      </c>
      <c r="G50" s="214"/>
      <c r="H50" s="214"/>
      <c r="I50" s="214"/>
      <c r="J50" s="214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 s="36" customFormat="1" ht="38.25" customHeight="1">
      <c r="A51" s="34" t="s">
        <v>15</v>
      </c>
      <c r="B51" s="215"/>
      <c r="C51" s="217"/>
      <c r="D51" s="219"/>
      <c r="E51" s="214"/>
      <c r="F51" s="214"/>
      <c r="G51" s="214"/>
      <c r="H51" s="214"/>
      <c r="I51" s="214"/>
      <c r="J51" s="214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1:19" s="36" customFormat="1" ht="34.5" customHeight="1">
      <c r="A52" s="3" t="s">
        <v>15</v>
      </c>
      <c r="B52" s="88"/>
      <c r="C52" s="84" t="s">
        <v>401</v>
      </c>
      <c r="D52" s="89">
        <f>E52</f>
        <v>36409303.01912</v>
      </c>
      <c r="E52" s="89">
        <f>'Обосн.1(1.1.)РБ'!J28+'Обосн.1(1.4.)РБ'!D20</f>
        <v>36409303.01912</v>
      </c>
      <c r="F52" s="52"/>
      <c r="G52" s="52"/>
      <c r="H52" s="52"/>
      <c r="I52" s="52"/>
      <c r="J52" s="52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19" s="36" customFormat="1" ht="33" customHeight="1">
      <c r="A53" s="3" t="s">
        <v>15</v>
      </c>
      <c r="B53" s="35"/>
      <c r="C53" s="99" t="s">
        <v>510</v>
      </c>
      <c r="D53" s="141">
        <f>E53</f>
        <v>4176611.65672</v>
      </c>
      <c r="E53" s="90">
        <f>'Обосн.1(1.1.)МБ'!J18+'Обосн.1(1.4.)МБ'!D20</f>
        <v>4176611.65672</v>
      </c>
      <c r="F53" s="52"/>
      <c r="G53" s="52"/>
      <c r="H53" s="52"/>
      <c r="I53" s="52"/>
      <c r="J53" s="52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 s="36" customFormat="1" ht="33" customHeight="1">
      <c r="A54" s="3" t="s">
        <v>15</v>
      </c>
      <c r="B54" s="199"/>
      <c r="C54" s="99" t="s">
        <v>511</v>
      </c>
      <c r="D54" s="141">
        <f>E54</f>
        <v>1281433.77726</v>
      </c>
      <c r="E54" s="90">
        <f>'Обосн.1(1.1.)МБ'!J33+'Обосн.1(1.4.)МБ'!D41</f>
        <v>1281433.77726</v>
      </c>
      <c r="F54" s="200"/>
      <c r="G54" s="200"/>
      <c r="H54" s="200"/>
      <c r="I54" s="200"/>
      <c r="J54" s="200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 s="36" customFormat="1" ht="33" customHeight="1">
      <c r="A55" s="3" t="s">
        <v>465</v>
      </c>
      <c r="B55" s="189"/>
      <c r="C55" s="99" t="s">
        <v>466</v>
      </c>
      <c r="D55" s="141">
        <f>E55</f>
        <v>15038.76402</v>
      </c>
      <c r="E55" s="90">
        <f>'Обосн.1(1.1.)РБ'!J60+'Обосн.1(1.4.)РБ'!D82</f>
        <v>15038.76402</v>
      </c>
      <c r="F55" s="188"/>
      <c r="G55" s="188"/>
      <c r="H55" s="188"/>
      <c r="I55" s="188"/>
      <c r="J55" s="188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1:19" s="36" customFormat="1" ht="33" customHeight="1">
      <c r="A56" s="3" t="s">
        <v>465</v>
      </c>
      <c r="B56" s="189"/>
      <c r="C56" s="99" t="s">
        <v>468</v>
      </c>
      <c r="D56" s="141">
        <f>E56</f>
        <v>1051642.8309</v>
      </c>
      <c r="E56" s="90">
        <f>'Обосн.1(1.1.)МБ'!J48+'Обосн.1(1.4.)МБ'!D85</f>
        <v>1051642.8309</v>
      </c>
      <c r="F56" s="188"/>
      <c r="G56" s="188"/>
      <c r="H56" s="188"/>
      <c r="I56" s="188"/>
      <c r="J56" s="188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1:19" s="36" customFormat="1" ht="43.5" customHeight="1">
      <c r="A57" s="3" t="s">
        <v>353</v>
      </c>
      <c r="B57" s="180"/>
      <c r="C57" s="99" t="s">
        <v>435</v>
      </c>
      <c r="D57" s="141">
        <f aca="true" t="shared" si="3" ref="D57:D62">E57+F57+G57</f>
        <v>308870.44978</v>
      </c>
      <c r="E57" s="90">
        <v>0</v>
      </c>
      <c r="F57" s="179">
        <f>'Обосн.1(1.1.)МБ'!J34+'Обосн.1(1.4.)МБ'!D63</f>
        <v>308870.44978</v>
      </c>
      <c r="G57" s="179"/>
      <c r="H57" s="179"/>
      <c r="I57" s="179"/>
      <c r="J57" s="17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1:19" s="36" customFormat="1" ht="47.25" customHeight="1">
      <c r="A58" s="3" t="s">
        <v>354</v>
      </c>
      <c r="B58" s="180"/>
      <c r="C58" s="99" t="s">
        <v>436</v>
      </c>
      <c r="D58" s="141">
        <f t="shared" si="3"/>
        <v>4535602.97932</v>
      </c>
      <c r="E58" s="90">
        <f>'Обосн.1(1.1.)МБ'!J37+'Обосн.1(1.4.)МБ'!D64</f>
        <v>0</v>
      </c>
      <c r="F58" s="179">
        <f>'Обосн.1(1.1.)РБ'!J48+'Обосн.1(1.4.)РБ'!D40</f>
        <v>4535602.97932</v>
      </c>
      <c r="G58" s="179"/>
      <c r="H58" s="179"/>
      <c r="I58" s="179"/>
      <c r="J58" s="17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1:19" s="36" customFormat="1" ht="47.25" customHeight="1">
      <c r="A59" s="3" t="s">
        <v>494</v>
      </c>
      <c r="B59" s="189"/>
      <c r="C59" s="99" t="s">
        <v>495</v>
      </c>
      <c r="D59" s="141">
        <f t="shared" si="3"/>
        <v>231792.18559999997</v>
      </c>
      <c r="E59" s="90">
        <f>'Обосн.1(1.1.)МБ'!J38+'Обосн.1(1.4.)МБ'!D65</f>
        <v>0</v>
      </c>
      <c r="F59" s="188">
        <f>'Обосн.1(1.1.)РБ'!J54+'Обосн.1(1.4.)РБ'!D61</f>
        <v>231792.18559999997</v>
      </c>
      <c r="G59" s="188"/>
      <c r="H59" s="188"/>
      <c r="I59" s="188"/>
      <c r="J59" s="188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1:19" s="36" customFormat="1" ht="47.25" customHeight="1">
      <c r="A60" s="3" t="s">
        <v>482</v>
      </c>
      <c r="B60" s="189"/>
      <c r="C60" s="99" t="s">
        <v>483</v>
      </c>
      <c r="D60" s="141">
        <f t="shared" si="3"/>
        <v>175791.31199999998</v>
      </c>
      <c r="E60" s="90">
        <f>'Обосн.1(1.1.)МБ'!J38+'Обосн.1(1.4.)МБ'!D65</f>
        <v>0</v>
      </c>
      <c r="F60" s="188">
        <f>'Обосн.1(1.1.)МБ'!J54+'Обосн.1(1.4.)МБ'!D106</f>
        <v>175791.31199999998</v>
      </c>
      <c r="G60" s="188"/>
      <c r="H60" s="188"/>
      <c r="I60" s="188"/>
      <c r="J60" s="188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19" s="36" customFormat="1" ht="47.25" customHeight="1">
      <c r="A61" s="3" t="s">
        <v>482</v>
      </c>
      <c r="B61" s="199"/>
      <c r="C61" s="99" t="s">
        <v>514</v>
      </c>
      <c r="D61" s="141">
        <f t="shared" si="3"/>
        <v>20204.440000000002</v>
      </c>
      <c r="E61" s="90">
        <f>'Обосн.1(1.1.)МБ'!J39+'Обосн.1(1.4.)МБ'!D66</f>
        <v>0</v>
      </c>
      <c r="F61" s="200">
        <f>'Обосн.1(1.1.)МБ'!J53+'Обосн.1(1.4.)МБ'!D128</f>
        <v>20204.440000000002</v>
      </c>
      <c r="G61" s="200"/>
      <c r="H61" s="200"/>
      <c r="I61" s="200"/>
      <c r="J61" s="200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 s="36" customFormat="1" ht="47.25" customHeight="1">
      <c r="A62" s="3" t="s">
        <v>485</v>
      </c>
      <c r="B62" s="189"/>
      <c r="C62" s="99" t="s">
        <v>486</v>
      </c>
      <c r="D62" s="141">
        <f t="shared" si="3"/>
        <v>16258.392</v>
      </c>
      <c r="E62" s="90">
        <f>'Обосн.1(1.1.)МБ'!J39+'Обосн.1(1.4.)МБ'!D66</f>
        <v>0</v>
      </c>
      <c r="F62" s="188">
        <f>'Обосн.1(1.1.)МБ'!J60+'Обосн.1(1.4.)МБ'!D171</f>
        <v>16258.392</v>
      </c>
      <c r="G62" s="188"/>
      <c r="H62" s="188"/>
      <c r="I62" s="188"/>
      <c r="J62" s="188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1:19" s="103" customFormat="1" ht="33.75" customHeight="1">
      <c r="A63" s="64" t="s">
        <v>229</v>
      </c>
      <c r="B63" s="100"/>
      <c r="C63" s="101" t="s">
        <v>402</v>
      </c>
      <c r="D63" s="102">
        <f>F63</f>
        <v>1600000</v>
      </c>
      <c r="E63" s="102"/>
      <c r="F63" s="162">
        <f>'Обосн.2 '!E7</f>
        <v>1600000</v>
      </c>
      <c r="G63" s="102"/>
      <c r="H63" s="102"/>
      <c r="I63" s="102"/>
      <c r="J63" s="102"/>
      <c r="K63" s="130" t="s">
        <v>310</v>
      </c>
      <c r="L63" s="129"/>
      <c r="M63" s="129"/>
      <c r="N63" s="129"/>
      <c r="O63" s="129"/>
      <c r="P63" s="129"/>
      <c r="Q63" s="129"/>
      <c r="R63" s="129"/>
      <c r="S63" s="129"/>
    </row>
    <row r="64" spans="1:19" s="103" customFormat="1" ht="33.75" customHeight="1">
      <c r="A64" s="64" t="s">
        <v>382</v>
      </c>
      <c r="B64" s="100"/>
      <c r="C64" s="101" t="s">
        <v>438</v>
      </c>
      <c r="D64" s="102">
        <f>F64</f>
        <v>178607.72</v>
      </c>
      <c r="E64" s="102"/>
      <c r="F64" s="162">
        <f>'Обосн.2 '!E9</f>
        <v>178607.72</v>
      </c>
      <c r="G64" s="102"/>
      <c r="H64" s="102"/>
      <c r="I64" s="102"/>
      <c r="J64" s="102"/>
      <c r="K64" s="130" t="s">
        <v>310</v>
      </c>
      <c r="L64" s="129"/>
      <c r="M64" s="129"/>
      <c r="N64" s="129"/>
      <c r="O64" s="129"/>
      <c r="P64" s="129"/>
      <c r="Q64" s="129"/>
      <c r="R64" s="129"/>
      <c r="S64" s="129"/>
    </row>
    <row r="65" spans="1:19" s="103" customFormat="1" ht="39.75" customHeight="1">
      <c r="A65" s="64" t="s">
        <v>233</v>
      </c>
      <c r="B65" s="100"/>
      <c r="C65" s="101" t="s">
        <v>403</v>
      </c>
      <c r="D65" s="102">
        <f>E65+F65+G65+H65+I65+J65</f>
        <v>80000</v>
      </c>
      <c r="E65" s="102">
        <f>'Обосн.1 (1.2.)'!F10</f>
        <v>80000</v>
      </c>
      <c r="F65" s="162"/>
      <c r="G65" s="102"/>
      <c r="H65" s="102"/>
      <c r="I65" s="102"/>
      <c r="J65" s="102"/>
      <c r="K65" s="131" t="s">
        <v>311</v>
      </c>
      <c r="L65" s="129"/>
      <c r="M65" s="129"/>
      <c r="N65" s="129"/>
      <c r="O65" s="129"/>
      <c r="P65" s="129"/>
      <c r="Q65" s="129"/>
      <c r="R65" s="129"/>
      <c r="S65" s="129"/>
    </row>
    <row r="66" spans="1:19" s="103" customFormat="1" ht="39.75" customHeight="1">
      <c r="A66" s="64" t="s">
        <v>332</v>
      </c>
      <c r="B66" s="100"/>
      <c r="C66" s="101" t="s">
        <v>333</v>
      </c>
      <c r="D66" s="102">
        <f>F66</f>
        <v>0</v>
      </c>
      <c r="E66" s="102"/>
      <c r="F66" s="162">
        <f>'Обосн.2 '!E8</f>
        <v>0</v>
      </c>
      <c r="G66" s="102"/>
      <c r="H66" s="102"/>
      <c r="I66" s="102"/>
      <c r="J66" s="102"/>
      <c r="K66" s="131"/>
      <c r="L66" s="129"/>
      <c r="M66" s="129"/>
      <c r="N66" s="129"/>
      <c r="O66" s="129"/>
      <c r="P66" s="129"/>
      <c r="Q66" s="129"/>
      <c r="R66" s="129"/>
      <c r="S66" s="129"/>
    </row>
    <row r="67" spans="1:19" s="103" customFormat="1" ht="39.75" customHeight="1">
      <c r="A67" s="64" t="s">
        <v>332</v>
      </c>
      <c r="B67" s="100"/>
      <c r="C67" s="101" t="s">
        <v>393</v>
      </c>
      <c r="D67" s="102">
        <f>F67</f>
        <v>0</v>
      </c>
      <c r="E67" s="102"/>
      <c r="F67" s="162"/>
      <c r="G67" s="102"/>
      <c r="H67" s="102"/>
      <c r="I67" s="102"/>
      <c r="J67" s="102"/>
      <c r="K67" s="131"/>
      <c r="L67" s="129"/>
      <c r="M67" s="129"/>
      <c r="N67" s="129"/>
      <c r="O67" s="129"/>
      <c r="P67" s="129"/>
      <c r="Q67" s="129"/>
      <c r="R67" s="129"/>
      <c r="S67" s="129"/>
    </row>
    <row r="68" spans="1:19" s="103" customFormat="1" ht="39.75" customHeight="1">
      <c r="A68" s="64" t="s">
        <v>382</v>
      </c>
      <c r="B68" s="100"/>
      <c r="C68" s="101" t="s">
        <v>383</v>
      </c>
      <c r="D68" s="102">
        <f>F68</f>
        <v>0</v>
      </c>
      <c r="E68" s="102"/>
      <c r="F68" s="162"/>
      <c r="G68" s="102"/>
      <c r="H68" s="102"/>
      <c r="I68" s="102"/>
      <c r="J68" s="102"/>
      <c r="K68" s="131"/>
      <c r="L68" s="129"/>
      <c r="M68" s="129"/>
      <c r="N68" s="129"/>
      <c r="O68" s="129"/>
      <c r="P68" s="129"/>
      <c r="Q68" s="129"/>
      <c r="R68" s="129"/>
      <c r="S68" s="129"/>
    </row>
    <row r="69" spans="1:19" ht="36" customHeight="1">
      <c r="A69" s="34" t="s">
        <v>16</v>
      </c>
      <c r="B69" s="35">
        <v>220</v>
      </c>
      <c r="C69" s="91" t="s">
        <v>9</v>
      </c>
      <c r="D69" s="52">
        <f>F69+E69</f>
        <v>0</v>
      </c>
      <c r="E69" s="52"/>
      <c r="F69" s="163"/>
      <c r="G69" s="52"/>
      <c r="H69" s="52"/>
      <c r="I69" s="52"/>
      <c r="J69" s="52"/>
      <c r="K69" s="132"/>
      <c r="L69" s="132"/>
      <c r="M69" s="132"/>
      <c r="N69" s="132"/>
      <c r="O69" s="132"/>
      <c r="P69" s="132"/>
      <c r="Q69" s="132"/>
      <c r="R69" s="132"/>
      <c r="S69" s="132"/>
    </row>
    <row r="70" spans="1:10" s="36" customFormat="1" ht="32.25" customHeight="1">
      <c r="A70" s="34" t="s">
        <v>17</v>
      </c>
      <c r="B70" s="35">
        <v>230</v>
      </c>
      <c r="C70" s="91" t="s">
        <v>9</v>
      </c>
      <c r="D70" s="52">
        <f>E70+F70+G70+H70+I70</f>
        <v>863000</v>
      </c>
      <c r="E70" s="52">
        <f>E71+E72+E73+E74</f>
        <v>863000</v>
      </c>
      <c r="F70" s="163"/>
      <c r="G70" s="52"/>
      <c r="H70" s="52"/>
      <c r="I70" s="52">
        <f>I75</f>
        <v>0</v>
      </c>
      <c r="J70" s="52"/>
    </row>
    <row r="71" spans="1:10" ht="23.25" customHeight="1">
      <c r="A71" s="28" t="s">
        <v>242</v>
      </c>
      <c r="B71" s="11"/>
      <c r="C71" s="48" t="s">
        <v>457</v>
      </c>
      <c r="D71" s="23">
        <f>E71</f>
        <v>803000</v>
      </c>
      <c r="E71" s="23">
        <f>'Обосн.2 '!E29</f>
        <v>803000</v>
      </c>
      <c r="F71" s="161"/>
      <c r="G71" s="23"/>
      <c r="H71" s="23"/>
      <c r="I71" s="23"/>
      <c r="J71" s="23"/>
    </row>
    <row r="72" spans="1:10" ht="39.75" customHeight="1">
      <c r="A72" s="28" t="s">
        <v>243</v>
      </c>
      <c r="B72" s="45"/>
      <c r="C72" s="74" t="s">
        <v>459</v>
      </c>
      <c r="D72" s="46">
        <f>E72</f>
        <v>10000</v>
      </c>
      <c r="E72" s="46">
        <f>'Обосн.2 '!E56</f>
        <v>10000</v>
      </c>
      <c r="F72" s="161"/>
      <c r="G72" s="46"/>
      <c r="H72" s="46"/>
      <c r="I72" s="46"/>
      <c r="J72" s="46"/>
    </row>
    <row r="73" spans="1:10" ht="27" customHeight="1">
      <c r="A73" s="28" t="s">
        <v>244</v>
      </c>
      <c r="B73" s="45"/>
      <c r="C73" s="74" t="s">
        <v>460</v>
      </c>
      <c r="D73" s="46">
        <f>E73</f>
        <v>20000</v>
      </c>
      <c r="E73" s="46">
        <f>'Обосн.2 '!E57</f>
        <v>20000</v>
      </c>
      <c r="F73" s="161"/>
      <c r="G73" s="46"/>
      <c r="H73" s="46"/>
      <c r="I73" s="46"/>
      <c r="J73" s="46"/>
    </row>
    <row r="74" spans="1:10" ht="27" customHeight="1">
      <c r="A74" s="28" t="s">
        <v>244</v>
      </c>
      <c r="B74" s="184"/>
      <c r="C74" s="74" t="s">
        <v>461</v>
      </c>
      <c r="D74" s="185">
        <f>E74</f>
        <v>30000</v>
      </c>
      <c r="E74" s="185">
        <f>'Обосн.2 '!E59</f>
        <v>30000</v>
      </c>
      <c r="F74" s="161"/>
      <c r="G74" s="185"/>
      <c r="H74" s="185"/>
      <c r="I74" s="185"/>
      <c r="J74" s="185"/>
    </row>
    <row r="75" spans="1:10" ht="27" customHeight="1">
      <c r="A75" s="28" t="s">
        <v>335</v>
      </c>
      <c r="B75" s="140"/>
      <c r="C75" s="74" t="s">
        <v>336</v>
      </c>
      <c r="D75" s="133">
        <f>I75</f>
        <v>0</v>
      </c>
      <c r="E75" s="133"/>
      <c r="F75" s="161"/>
      <c r="G75" s="133"/>
      <c r="H75" s="133"/>
      <c r="I75" s="133">
        <f>'Обосн.2 '!E58</f>
        <v>0</v>
      </c>
      <c r="J75" s="133"/>
    </row>
    <row r="76" spans="1:10" ht="27.75" customHeight="1">
      <c r="A76" s="97" t="s">
        <v>126</v>
      </c>
      <c r="B76" s="95">
        <v>240</v>
      </c>
      <c r="C76" s="96" t="s">
        <v>9</v>
      </c>
      <c r="D76" s="94">
        <v>0</v>
      </c>
      <c r="E76" s="94"/>
      <c r="F76" s="161"/>
      <c r="G76" s="94"/>
      <c r="H76" s="94"/>
      <c r="I76" s="94"/>
      <c r="J76" s="94"/>
    </row>
    <row r="77" spans="1:10" ht="15.75">
      <c r="A77" s="29"/>
      <c r="B77" s="11"/>
      <c r="C77" s="42"/>
      <c r="D77" s="23"/>
      <c r="E77" s="23"/>
      <c r="F77" s="161"/>
      <c r="G77" s="23"/>
      <c r="H77" s="23"/>
      <c r="I77" s="23"/>
      <c r="J77" s="23"/>
    </row>
    <row r="78" spans="1:10" ht="43.5" customHeight="1">
      <c r="A78" s="3" t="s">
        <v>18</v>
      </c>
      <c r="B78" s="10">
        <v>250</v>
      </c>
      <c r="C78" s="91" t="s">
        <v>9</v>
      </c>
      <c r="D78" s="23">
        <f>E78+F78+G78+H78+I78</f>
        <v>0</v>
      </c>
      <c r="E78" s="23"/>
      <c r="F78" s="161"/>
      <c r="G78" s="23"/>
      <c r="H78" s="23"/>
      <c r="I78" s="23"/>
      <c r="J78" s="23"/>
    </row>
    <row r="79" spans="1:10" ht="42.75" customHeight="1">
      <c r="A79" s="34" t="s">
        <v>19</v>
      </c>
      <c r="B79" s="35">
        <v>260</v>
      </c>
      <c r="C79" s="51" t="s">
        <v>9</v>
      </c>
      <c r="D79" s="52">
        <f>E79+F79+G79+H79+I79</f>
        <v>24885766.44169015</v>
      </c>
      <c r="E79" s="52">
        <f>SUM(E80:E110)</f>
        <v>21163258.98769015</v>
      </c>
      <c r="F79" s="163">
        <f>SUM(F80:F114)</f>
        <v>3508163.44</v>
      </c>
      <c r="G79" s="52">
        <f>SUM(G80:G110)</f>
        <v>0</v>
      </c>
      <c r="H79" s="52">
        <f>SUM(H80:H110)</f>
        <v>0</v>
      </c>
      <c r="I79" s="52">
        <f>SUM(I80:I111)</f>
        <v>214344.014</v>
      </c>
      <c r="J79" s="52">
        <v>0</v>
      </c>
    </row>
    <row r="80" spans="1:10" ht="25.5" customHeight="1">
      <c r="A80" s="3" t="s">
        <v>234</v>
      </c>
      <c r="B80" s="47"/>
      <c r="C80" s="48" t="s">
        <v>395</v>
      </c>
      <c r="D80" s="46">
        <f aca="true" t="shared" si="4" ref="D80:D85">E80+F80+G80+H80+I80+J80</f>
        <v>453000</v>
      </c>
      <c r="E80" s="46">
        <f>'Обосн.2 '!F101</f>
        <v>453000</v>
      </c>
      <c r="F80" s="161"/>
      <c r="G80" s="46"/>
      <c r="H80" s="46"/>
      <c r="I80" s="46"/>
      <c r="J80" s="46"/>
    </row>
    <row r="81" spans="1:10" ht="25.5" customHeight="1">
      <c r="A81" s="3" t="s">
        <v>235</v>
      </c>
      <c r="B81" s="47"/>
      <c r="C81" s="74" t="s">
        <v>405</v>
      </c>
      <c r="D81" s="46">
        <f t="shared" si="4"/>
        <v>880000</v>
      </c>
      <c r="E81" s="46">
        <f>'Обосн.2 '!E110+'Обосн.2 '!E111</f>
        <v>880000</v>
      </c>
      <c r="F81" s="161"/>
      <c r="G81" s="46"/>
      <c r="H81" s="46"/>
      <c r="I81" s="46"/>
      <c r="J81" s="46"/>
    </row>
    <row r="82" spans="1:10" ht="51.75" customHeight="1">
      <c r="A82" s="3" t="s">
        <v>250</v>
      </c>
      <c r="B82" s="47"/>
      <c r="C82" s="74" t="s">
        <v>405</v>
      </c>
      <c r="D82" s="46">
        <f t="shared" si="4"/>
        <v>50000.00460000001</v>
      </c>
      <c r="E82" s="46">
        <f>'Обосн.1 (1.2.)'!F11</f>
        <v>50000.00460000001</v>
      </c>
      <c r="F82" s="161"/>
      <c r="G82" s="46"/>
      <c r="H82" s="46"/>
      <c r="I82" s="46"/>
      <c r="J82" s="46"/>
    </row>
    <row r="83" spans="1:10" ht="25.5" customHeight="1">
      <c r="A83" s="3" t="s">
        <v>235</v>
      </c>
      <c r="B83" s="201"/>
      <c r="C83" s="74" t="s">
        <v>516</v>
      </c>
      <c r="D83" s="197">
        <f t="shared" si="4"/>
        <v>72679.88</v>
      </c>
      <c r="E83" s="197">
        <f>'Обосн.2 '!E116</f>
        <v>0</v>
      </c>
      <c r="F83" s="161">
        <f>'Обосн.2 '!E112</f>
        <v>72679.88</v>
      </c>
      <c r="G83" s="197"/>
      <c r="H83" s="197"/>
      <c r="I83" s="197"/>
      <c r="J83" s="197"/>
    </row>
    <row r="84" spans="1:10" s="107" customFormat="1" ht="32.25" customHeight="1">
      <c r="A84" s="116" t="s">
        <v>313</v>
      </c>
      <c r="B84" s="117"/>
      <c r="C84" s="74" t="s">
        <v>397</v>
      </c>
      <c r="D84" s="118">
        <f t="shared" si="4"/>
        <v>8216308.82509015</v>
      </c>
      <c r="E84" s="118">
        <f>'Обосн.2 '!F143</f>
        <v>8216308.82509015</v>
      </c>
      <c r="F84" s="164"/>
      <c r="G84" s="106"/>
      <c r="H84" s="106"/>
      <c r="I84" s="106"/>
      <c r="J84" s="106"/>
    </row>
    <row r="85" spans="1:10" ht="39.75" customHeight="1">
      <c r="A85" s="105" t="s">
        <v>314</v>
      </c>
      <c r="B85" s="47"/>
      <c r="C85" s="74" t="s">
        <v>406</v>
      </c>
      <c r="D85" s="46">
        <f t="shared" si="4"/>
        <v>2144376.23</v>
      </c>
      <c r="E85" s="46">
        <f>'Обосн.2 '!E155+'Обосн.2 '!E156+'Обосн.2 '!E157+'Обосн.2 '!E169</f>
        <v>2144376.23</v>
      </c>
      <c r="F85" s="161"/>
      <c r="G85" s="46"/>
      <c r="H85" s="46"/>
      <c r="I85" s="46"/>
      <c r="J85" s="46"/>
    </row>
    <row r="86" spans="1:10" ht="54" customHeight="1">
      <c r="A86" s="105" t="s">
        <v>377</v>
      </c>
      <c r="B86" s="157"/>
      <c r="C86" s="74" t="s">
        <v>496</v>
      </c>
      <c r="D86" s="154">
        <f>E86+F86+H86+I86+J86</f>
        <v>2080742</v>
      </c>
      <c r="E86" s="154">
        <f>'Обосн.2 '!E173</f>
        <v>0</v>
      </c>
      <c r="F86" s="161">
        <f>'Обосн.2 '!E158</f>
        <v>2080742</v>
      </c>
      <c r="H86" s="154"/>
      <c r="I86" s="154"/>
      <c r="J86" s="154"/>
    </row>
    <row r="87" spans="1:10" ht="54" customHeight="1">
      <c r="A87" s="105" t="s">
        <v>446</v>
      </c>
      <c r="B87" s="183"/>
      <c r="C87" s="74" t="s">
        <v>447</v>
      </c>
      <c r="D87" s="182">
        <f aca="true" t="shared" si="5" ref="D87:D96">E87+F87+G87+H87+I87+J87</f>
        <v>361000</v>
      </c>
      <c r="E87" s="182"/>
      <c r="F87" s="161">
        <f>'Обосн.2 '!E167</f>
        <v>361000</v>
      </c>
      <c r="G87" s="182"/>
      <c r="H87" s="182"/>
      <c r="I87" s="182"/>
      <c r="J87" s="182"/>
    </row>
    <row r="88" spans="1:10" ht="34.5" customHeight="1">
      <c r="A88" s="105" t="s">
        <v>315</v>
      </c>
      <c r="B88" s="47"/>
      <c r="C88" s="74" t="s">
        <v>407</v>
      </c>
      <c r="D88" s="46">
        <f t="shared" si="5"/>
        <v>1799160</v>
      </c>
      <c r="E88" s="133">
        <f>'Обосн.2 '!D180+'Обосн.2 '!D183+'Обосн.2 '!D184+'Обосн.2 '!D185+'Обосн.2 '!D186</f>
        <v>1799160</v>
      </c>
      <c r="F88" s="161"/>
      <c r="G88" s="46"/>
      <c r="H88" s="46"/>
      <c r="I88" s="46"/>
      <c r="J88" s="46"/>
    </row>
    <row r="89" spans="1:10" ht="34.5" customHeight="1">
      <c r="A89" s="105" t="s">
        <v>358</v>
      </c>
      <c r="B89" s="143"/>
      <c r="C89" s="74" t="s">
        <v>408</v>
      </c>
      <c r="D89" s="142">
        <f t="shared" si="5"/>
        <v>2708300.8</v>
      </c>
      <c r="E89" s="161">
        <f>'Обосн.2 '!D187</f>
        <v>2708300.8</v>
      </c>
      <c r="F89" s="161"/>
      <c r="G89" s="142"/>
      <c r="H89" s="142"/>
      <c r="I89" s="142"/>
      <c r="J89" s="142"/>
    </row>
    <row r="90" spans="1:10" ht="46.5" customHeight="1">
      <c r="A90" s="105" t="s">
        <v>387</v>
      </c>
      <c r="B90" s="167"/>
      <c r="C90" s="74" t="s">
        <v>409</v>
      </c>
      <c r="D90" s="165">
        <f t="shared" si="5"/>
        <v>150662.4</v>
      </c>
      <c r="E90" s="161">
        <f>'Обосн.2 '!D188</f>
        <v>150662.4</v>
      </c>
      <c r="F90" s="161"/>
      <c r="G90" s="165"/>
      <c r="H90" s="165"/>
      <c r="I90" s="165"/>
      <c r="J90" s="165"/>
    </row>
    <row r="91" spans="1:10" ht="34.5" customHeight="1">
      <c r="A91" s="105" t="s">
        <v>448</v>
      </c>
      <c r="B91" s="183"/>
      <c r="C91" s="74" t="s">
        <v>449</v>
      </c>
      <c r="D91" s="182">
        <f t="shared" si="5"/>
        <v>58900</v>
      </c>
      <c r="E91" s="161"/>
      <c r="F91" s="161">
        <f>'Обосн.2 '!D181</f>
        <v>58900</v>
      </c>
      <c r="G91" s="182"/>
      <c r="H91" s="182"/>
      <c r="I91" s="182"/>
      <c r="J91" s="182"/>
    </row>
    <row r="92" spans="1:10" ht="34.5" customHeight="1">
      <c r="A92" s="105" t="s">
        <v>499</v>
      </c>
      <c r="B92" s="187"/>
      <c r="C92" s="74" t="s">
        <v>500</v>
      </c>
      <c r="D92" s="185">
        <f>E92+F92+G92+H92+I92+J92</f>
        <v>91716</v>
      </c>
      <c r="E92" s="161"/>
      <c r="F92" s="161">
        <f>'Обосн.2 '!D191</f>
        <v>91716</v>
      </c>
      <c r="G92" s="185"/>
      <c r="H92" s="185"/>
      <c r="I92" s="185"/>
      <c r="J92" s="185"/>
    </row>
    <row r="93" spans="1:10" ht="34.5" customHeight="1">
      <c r="A93" s="105" t="s">
        <v>501</v>
      </c>
      <c r="B93" s="187"/>
      <c r="C93" s="74" t="s">
        <v>502</v>
      </c>
      <c r="D93" s="185">
        <f>E93+F93+G93+H93+I93+J93</f>
        <v>13500</v>
      </c>
      <c r="E93" s="161"/>
      <c r="F93" s="161">
        <f>'Обосн.2 '!D223</f>
        <v>13500</v>
      </c>
      <c r="G93" s="185"/>
      <c r="H93" s="185"/>
      <c r="I93" s="185"/>
      <c r="J93" s="185"/>
    </row>
    <row r="94" spans="1:10" ht="34.5" customHeight="1">
      <c r="A94" s="105" t="s">
        <v>504</v>
      </c>
      <c r="B94" s="187"/>
      <c r="C94" s="74" t="s">
        <v>505</v>
      </c>
      <c r="D94" s="185">
        <f>E94+F94+G94+H94+I94+J94</f>
        <v>57600</v>
      </c>
      <c r="E94" s="161"/>
      <c r="F94" s="161">
        <f>'Обосн.2 '!D224</f>
        <v>57600</v>
      </c>
      <c r="G94" s="185"/>
      <c r="H94" s="185"/>
      <c r="I94" s="185"/>
      <c r="J94" s="185"/>
    </row>
    <row r="95" spans="1:10" ht="34.5" customHeight="1">
      <c r="A95" s="105" t="s">
        <v>432</v>
      </c>
      <c r="B95" s="178"/>
      <c r="C95" s="74" t="s">
        <v>433</v>
      </c>
      <c r="D95" s="177">
        <f t="shared" si="5"/>
        <v>30425.16</v>
      </c>
      <c r="E95" s="161"/>
      <c r="F95" s="161">
        <f>'Обосн.2 '!D221</f>
        <v>30425.16</v>
      </c>
      <c r="G95" s="177"/>
      <c r="H95" s="177"/>
      <c r="I95" s="177"/>
      <c r="J95" s="177"/>
    </row>
    <row r="96" spans="1:10" ht="34.5" customHeight="1">
      <c r="A96" s="105" t="s">
        <v>430</v>
      </c>
      <c r="B96" s="178"/>
      <c r="C96" s="74" t="s">
        <v>431</v>
      </c>
      <c r="D96" s="177">
        <f t="shared" si="5"/>
        <v>190650</v>
      </c>
      <c r="E96" s="161">
        <f>'Обосн.2 '!D189</f>
        <v>0</v>
      </c>
      <c r="F96" s="161">
        <f>'Обосн.2 '!D222</f>
        <v>190650</v>
      </c>
      <c r="G96" s="177"/>
      <c r="H96" s="177"/>
      <c r="I96" s="177"/>
      <c r="J96" s="177"/>
    </row>
    <row r="97" spans="1:10" ht="34.5" customHeight="1">
      <c r="A97" s="105"/>
      <c r="B97" s="178"/>
      <c r="C97" s="74"/>
      <c r="D97" s="177"/>
      <c r="E97" s="161"/>
      <c r="F97" s="161"/>
      <c r="G97" s="177"/>
      <c r="H97" s="177"/>
      <c r="I97" s="177"/>
      <c r="J97" s="177"/>
    </row>
    <row r="98" spans="1:10" ht="34.5" customHeight="1">
      <c r="A98" s="105" t="s">
        <v>372</v>
      </c>
      <c r="B98" s="152"/>
      <c r="C98" s="74"/>
      <c r="D98" s="150">
        <f>E98+F98+G98+H98+I98+J98</f>
        <v>0</v>
      </c>
      <c r="E98" s="150">
        <f>'Обосн.2 '!D190</f>
        <v>0</v>
      </c>
      <c r="F98" s="161"/>
      <c r="G98" s="150"/>
      <c r="H98" s="150"/>
      <c r="I98" s="150"/>
      <c r="J98" s="150"/>
    </row>
    <row r="99" spans="1:10" ht="54" customHeight="1">
      <c r="A99" s="105" t="s">
        <v>344</v>
      </c>
      <c r="B99" s="157"/>
      <c r="C99" s="74"/>
      <c r="D99" s="154">
        <f>E99+F99+H99+I99+J99</f>
        <v>0</v>
      </c>
      <c r="E99" s="154">
        <f>'Обосн.2 '!E176</f>
        <v>0</v>
      </c>
      <c r="F99" s="161">
        <f>'Обосн.2 '!D189</f>
        <v>0</v>
      </c>
      <c r="H99" s="154"/>
      <c r="I99" s="154"/>
      <c r="J99" s="154"/>
    </row>
    <row r="100" spans="1:10" ht="26.25" customHeight="1">
      <c r="A100" s="3" t="s">
        <v>274</v>
      </c>
      <c r="B100" s="73"/>
      <c r="C100" s="74" t="s">
        <v>410</v>
      </c>
      <c r="D100" s="72">
        <f aca="true" t="shared" si="6" ref="D100:D110">E100+F100+G100+H100+I100+J100</f>
        <v>18779.7</v>
      </c>
      <c r="E100" s="72">
        <f>'Обосн.2 '!D210</f>
        <v>18779.7</v>
      </c>
      <c r="F100" s="161"/>
      <c r="G100" s="72"/>
      <c r="H100" s="72"/>
      <c r="I100" s="72"/>
      <c r="J100" s="72"/>
    </row>
    <row r="101" spans="1:10" ht="22.5" customHeight="1">
      <c r="A101" s="3" t="s">
        <v>247</v>
      </c>
      <c r="B101" s="47"/>
      <c r="C101" s="48" t="s">
        <v>248</v>
      </c>
      <c r="D101" s="46">
        <f t="shared" si="6"/>
        <v>102520.01399999998</v>
      </c>
      <c r="E101" s="46"/>
      <c r="F101" s="161"/>
      <c r="G101" s="46"/>
      <c r="H101" s="46"/>
      <c r="I101" s="46">
        <f>'Обосн.1(1.1.)Плат.усл'!J19</f>
        <v>102520.01399999998</v>
      </c>
      <c r="J101" s="46"/>
    </row>
    <row r="102" spans="1:10" ht="32.25" customHeight="1">
      <c r="A102" s="3" t="s">
        <v>245</v>
      </c>
      <c r="B102" s="187"/>
      <c r="C102" s="74" t="s">
        <v>463</v>
      </c>
      <c r="D102" s="185">
        <f>E102+F102+G102+H102+I102+J102</f>
        <v>700000</v>
      </c>
      <c r="E102" s="185">
        <f>'Обосн.2 '!E243</f>
        <v>700000</v>
      </c>
      <c r="F102" s="161"/>
      <c r="G102" s="185"/>
      <c r="H102" s="185"/>
      <c r="I102" s="185"/>
      <c r="J102" s="185"/>
    </row>
    <row r="103" spans="1:10" ht="32.25" customHeight="1">
      <c r="A103" s="3" t="s">
        <v>245</v>
      </c>
      <c r="B103" s="73"/>
      <c r="C103" s="74" t="s">
        <v>411</v>
      </c>
      <c r="D103" s="72">
        <f t="shared" si="6"/>
        <v>1060195.81</v>
      </c>
      <c r="E103" s="72">
        <f>'Обосн.2 '!E253</f>
        <v>1060195.81</v>
      </c>
      <c r="F103" s="161"/>
      <c r="G103" s="72"/>
      <c r="H103" s="72"/>
      <c r="I103" s="72"/>
      <c r="J103" s="72"/>
    </row>
    <row r="104" spans="1:10" ht="32.25" customHeight="1">
      <c r="A104" s="3" t="s">
        <v>451</v>
      </c>
      <c r="B104" s="183"/>
      <c r="C104" s="74" t="s">
        <v>450</v>
      </c>
      <c r="D104" s="182">
        <f>E104+F104+G104+H104+I104+J104</f>
        <v>446760</v>
      </c>
      <c r="E104" s="182"/>
      <c r="F104" s="161">
        <f>'Обосн.2 '!E267</f>
        <v>446760</v>
      </c>
      <c r="G104" s="182"/>
      <c r="H104" s="182"/>
      <c r="I104" s="182"/>
      <c r="J104" s="182"/>
    </row>
    <row r="105" spans="1:11" ht="39.75" customHeight="1">
      <c r="A105" s="3" t="s">
        <v>509</v>
      </c>
      <c r="B105" s="195"/>
      <c r="C105" s="74" t="s">
        <v>525</v>
      </c>
      <c r="D105" s="194">
        <f>E105+F105+G105+H105+I105+J105</f>
        <v>36462.8</v>
      </c>
      <c r="E105" s="194"/>
      <c r="F105" s="161"/>
      <c r="G105" s="194"/>
      <c r="H105" s="194"/>
      <c r="I105" s="194">
        <f>'Обосн.2 '!E255</f>
        <v>36462.8</v>
      </c>
      <c r="J105" s="194"/>
      <c r="K105" s="104"/>
    </row>
    <row r="106" spans="1:11" ht="39.75" customHeight="1">
      <c r="A106" s="3" t="s">
        <v>522</v>
      </c>
      <c r="B106" s="201"/>
      <c r="C106" s="74" t="s">
        <v>526</v>
      </c>
      <c r="D106" s="197">
        <f>E106+F106+G106+H106+I106+J106</f>
        <v>43720</v>
      </c>
      <c r="E106" s="197"/>
      <c r="F106" s="161"/>
      <c r="G106" s="197"/>
      <c r="H106" s="197"/>
      <c r="I106" s="197">
        <f>'Обосн.2 '!E256</f>
        <v>43720</v>
      </c>
      <c r="J106" s="197"/>
      <c r="K106" s="104"/>
    </row>
    <row r="107" spans="1:10" ht="29.25" customHeight="1">
      <c r="A107" s="3" t="s">
        <v>246</v>
      </c>
      <c r="B107" s="47"/>
      <c r="C107" s="48" t="s">
        <v>399</v>
      </c>
      <c r="D107" s="46">
        <f t="shared" si="6"/>
        <v>2612953.918</v>
      </c>
      <c r="E107" s="133">
        <f>'Обосн.2 '!F280+'Обосн.2 '!F279</f>
        <v>2612953.918</v>
      </c>
      <c r="F107" s="161"/>
      <c r="G107" s="46"/>
      <c r="H107" s="46"/>
      <c r="I107" s="46"/>
      <c r="J107" s="46"/>
    </row>
    <row r="108" spans="1:11" ht="36" customHeight="1">
      <c r="A108" s="3" t="s">
        <v>246</v>
      </c>
      <c r="B108" s="73"/>
      <c r="C108" s="74" t="s">
        <v>400</v>
      </c>
      <c r="D108" s="72">
        <f t="shared" si="6"/>
        <v>362832.49</v>
      </c>
      <c r="E108" s="115">
        <f>'Обосн.2 '!F294</f>
        <v>362832.49</v>
      </c>
      <c r="F108" s="161"/>
      <c r="G108" s="72"/>
      <c r="H108" s="72"/>
      <c r="I108" s="72"/>
      <c r="J108" s="72"/>
      <c r="K108" s="104" t="s">
        <v>312</v>
      </c>
    </row>
    <row r="109" spans="1:11" ht="36" customHeight="1">
      <c r="A109" s="3" t="s">
        <v>470</v>
      </c>
      <c r="B109" s="187"/>
      <c r="C109" s="74" t="s">
        <v>471</v>
      </c>
      <c r="D109" s="185">
        <f>E109+F109+G109+H109+I109+J109</f>
        <v>6688.81</v>
      </c>
      <c r="E109" s="115">
        <f>'Обосн.2 '!F306</f>
        <v>6688.81</v>
      </c>
      <c r="F109" s="161"/>
      <c r="G109" s="185"/>
      <c r="H109" s="185"/>
      <c r="I109" s="185"/>
      <c r="J109" s="185"/>
      <c r="K109" s="104" t="s">
        <v>312</v>
      </c>
    </row>
    <row r="110" spans="1:11" ht="39.75" customHeight="1">
      <c r="A110" s="3" t="s">
        <v>246</v>
      </c>
      <c r="B110" s="47"/>
      <c r="C110" s="48" t="s">
        <v>249</v>
      </c>
      <c r="D110" s="46">
        <f t="shared" si="6"/>
        <v>25361.2</v>
      </c>
      <c r="E110" s="46"/>
      <c r="F110" s="161"/>
      <c r="G110" s="46"/>
      <c r="H110" s="46"/>
      <c r="I110" s="46">
        <f>'Обосн.2 '!F320</f>
        <v>25361.2</v>
      </c>
      <c r="J110" s="46"/>
      <c r="K110" s="104"/>
    </row>
    <row r="111" spans="1:11" ht="39.75" customHeight="1">
      <c r="A111" s="3" t="s">
        <v>246</v>
      </c>
      <c r="B111" s="201"/>
      <c r="C111" s="74" t="s">
        <v>524</v>
      </c>
      <c r="D111" s="197">
        <f>E111+F111+G111+H111+I111+J111</f>
        <v>6280</v>
      </c>
      <c r="E111" s="197"/>
      <c r="F111" s="161"/>
      <c r="G111" s="197"/>
      <c r="H111" s="197"/>
      <c r="I111" s="197">
        <f>'Обосн.2 '!F321</f>
        <v>6280</v>
      </c>
      <c r="J111" s="197"/>
      <c r="K111" s="104"/>
    </row>
    <row r="112" spans="1:11" ht="42.75" customHeight="1">
      <c r="A112" s="3" t="s">
        <v>441</v>
      </c>
      <c r="B112" s="178"/>
      <c r="C112" s="74" t="s">
        <v>439</v>
      </c>
      <c r="D112" s="177">
        <f>E112+F112+G112+H112+I112+J112</f>
        <v>91190.4</v>
      </c>
      <c r="E112" s="115">
        <f>'Обосн.2 '!F296</f>
        <v>0</v>
      </c>
      <c r="F112" s="161">
        <f>'Обосн.2 '!F307</f>
        <v>91190.4</v>
      </c>
      <c r="G112" s="177"/>
      <c r="H112" s="177"/>
      <c r="I112" s="177"/>
      <c r="J112" s="177"/>
      <c r="K112" s="104" t="s">
        <v>312</v>
      </c>
    </row>
    <row r="113" spans="1:11" ht="42.75" customHeight="1">
      <c r="A113" s="3" t="s">
        <v>453</v>
      </c>
      <c r="B113" s="183"/>
      <c r="C113" s="74" t="s">
        <v>454</v>
      </c>
      <c r="D113" s="182">
        <f>E113+F113+G113+H113+I113+J113</f>
        <v>8000</v>
      </c>
      <c r="E113" s="115">
        <f>'Обосн.2 '!F297</f>
        <v>0</v>
      </c>
      <c r="F113" s="161">
        <f>'Обосн.2 '!F281</f>
        <v>8000</v>
      </c>
      <c r="G113" s="182"/>
      <c r="H113" s="182"/>
      <c r="I113" s="182"/>
      <c r="J113" s="182"/>
      <c r="K113" s="104" t="s">
        <v>312</v>
      </c>
    </row>
    <row r="114" spans="1:11" ht="42.75" customHeight="1">
      <c r="A114" s="3" t="s">
        <v>491</v>
      </c>
      <c r="B114" s="187"/>
      <c r="C114" s="74" t="s">
        <v>492</v>
      </c>
      <c r="D114" s="185">
        <f>E114+F114+G114+H114+I114+J114</f>
        <v>5000</v>
      </c>
      <c r="E114" s="115">
        <f>'Обосн.2 '!F298</f>
        <v>0</v>
      </c>
      <c r="F114" s="161">
        <f>'Обосн.2 '!F305</f>
        <v>5000</v>
      </c>
      <c r="G114" s="185"/>
      <c r="H114" s="185"/>
      <c r="I114" s="185"/>
      <c r="J114" s="185"/>
      <c r="K114" s="104" t="s">
        <v>312</v>
      </c>
    </row>
    <row r="115" spans="1:10" ht="32.25" customHeight="1">
      <c r="A115" s="3" t="s">
        <v>20</v>
      </c>
      <c r="B115" s="10">
        <v>300</v>
      </c>
      <c r="C115" s="43" t="s">
        <v>9</v>
      </c>
      <c r="D115" s="23">
        <f aca="true" t="shared" si="7" ref="D115:D120">E115+F115+G115+H115+I115</f>
        <v>0</v>
      </c>
      <c r="E115" s="23"/>
      <c r="F115" s="161"/>
      <c r="G115" s="23"/>
      <c r="H115" s="23"/>
      <c r="I115" s="23"/>
      <c r="J115" s="23"/>
    </row>
    <row r="116" spans="1:10" ht="31.5">
      <c r="A116" s="3" t="s">
        <v>21</v>
      </c>
      <c r="B116" s="10">
        <v>310</v>
      </c>
      <c r="C116" s="42"/>
      <c r="D116" s="23">
        <f t="shared" si="7"/>
        <v>0</v>
      </c>
      <c r="E116" s="23"/>
      <c r="F116" s="161"/>
      <c r="G116" s="23"/>
      <c r="H116" s="23"/>
      <c r="I116" s="23"/>
      <c r="J116" s="23"/>
    </row>
    <row r="117" spans="1:10" ht="15.75">
      <c r="A117" s="3" t="s">
        <v>22</v>
      </c>
      <c r="B117" s="10">
        <v>320</v>
      </c>
      <c r="C117" s="42"/>
      <c r="D117" s="23">
        <f t="shared" si="7"/>
        <v>0</v>
      </c>
      <c r="E117" s="23"/>
      <c r="F117" s="23"/>
      <c r="G117" s="23"/>
      <c r="H117" s="23"/>
      <c r="I117" s="23"/>
      <c r="J117" s="23"/>
    </row>
    <row r="118" spans="1:10" ht="31.5">
      <c r="A118" s="3" t="s">
        <v>23</v>
      </c>
      <c r="B118" s="10">
        <v>400</v>
      </c>
      <c r="C118" s="42"/>
      <c r="D118" s="23">
        <f t="shared" si="7"/>
        <v>0</v>
      </c>
      <c r="E118" s="23"/>
      <c r="F118" s="23"/>
      <c r="G118" s="23"/>
      <c r="H118" s="23"/>
      <c r="I118" s="23"/>
      <c r="J118" s="23"/>
    </row>
    <row r="119" spans="1:10" ht="31.5">
      <c r="A119" s="3" t="s">
        <v>24</v>
      </c>
      <c r="B119" s="10">
        <v>410</v>
      </c>
      <c r="C119" s="42"/>
      <c r="D119" s="23">
        <f t="shared" si="7"/>
        <v>0</v>
      </c>
      <c r="E119" s="23"/>
      <c r="F119" s="23"/>
      <c r="G119" s="23"/>
      <c r="H119" s="23"/>
      <c r="I119" s="23"/>
      <c r="J119" s="23"/>
    </row>
    <row r="120" spans="1:10" ht="23.25" customHeight="1">
      <c r="A120" s="3" t="s">
        <v>25</v>
      </c>
      <c r="B120" s="10">
        <v>420</v>
      </c>
      <c r="C120" s="42"/>
      <c r="D120" s="23">
        <f t="shared" si="7"/>
        <v>0</v>
      </c>
      <c r="E120" s="23"/>
      <c r="F120" s="23"/>
      <c r="G120" s="23"/>
      <c r="H120" s="23"/>
      <c r="I120" s="23"/>
      <c r="J120" s="23"/>
    </row>
    <row r="121" spans="1:10" ht="29.25" customHeight="1">
      <c r="A121" s="3" t="s">
        <v>26</v>
      </c>
      <c r="B121" s="10">
        <v>500</v>
      </c>
      <c r="C121" s="43" t="s">
        <v>9</v>
      </c>
      <c r="D121" s="23">
        <f>E121+F121+G121+H121+I121</f>
        <v>9784.01</v>
      </c>
      <c r="E121" s="23">
        <v>0</v>
      </c>
      <c r="F121" s="23">
        <v>0</v>
      </c>
      <c r="G121" s="23"/>
      <c r="H121" s="23"/>
      <c r="I121" s="23">
        <v>9784.01</v>
      </c>
      <c r="J121" s="23"/>
    </row>
    <row r="122" spans="1:10" ht="26.25" customHeight="1">
      <c r="A122" s="3" t="s">
        <v>27</v>
      </c>
      <c r="B122" s="10">
        <v>600</v>
      </c>
      <c r="C122" s="43" t="s">
        <v>9</v>
      </c>
      <c r="D122" s="23">
        <f>E122+F122+G122+H122+I122</f>
        <v>245065.04</v>
      </c>
      <c r="E122" s="23">
        <v>245065.04</v>
      </c>
      <c r="F122" s="23">
        <v>0</v>
      </c>
      <c r="G122" s="23"/>
      <c r="H122" s="23"/>
      <c r="I122" s="23">
        <v>0</v>
      </c>
      <c r="J122" s="23"/>
    </row>
    <row r="123" ht="15.75">
      <c r="A123" s="1"/>
    </row>
    <row r="124" ht="15.75">
      <c r="A124" s="2"/>
    </row>
    <row r="125" ht="15.75">
      <c r="A125" s="2"/>
    </row>
  </sheetData>
  <sheetProtection/>
  <mergeCells count="20">
    <mergeCell ref="B50:B51"/>
    <mergeCell ref="C50:C51"/>
    <mergeCell ref="D50:D51"/>
    <mergeCell ref="G50:G51"/>
    <mergeCell ref="F5:F6"/>
    <mergeCell ref="G5:G6"/>
    <mergeCell ref="C3:C6"/>
    <mergeCell ref="D4:D6"/>
    <mergeCell ref="H50:H51"/>
    <mergeCell ref="I50:I51"/>
    <mergeCell ref="E5:E6"/>
    <mergeCell ref="E50:E51"/>
    <mergeCell ref="F50:F51"/>
    <mergeCell ref="J50:J51"/>
    <mergeCell ref="A3:A6"/>
    <mergeCell ref="B3:B6"/>
    <mergeCell ref="D3:J3"/>
    <mergeCell ref="E4:J4"/>
    <mergeCell ref="H5:H6"/>
    <mergeCell ref="I5:J6"/>
  </mergeCells>
  <printOptions/>
  <pageMargins left="0.1968503937007874" right="0.1968503937007874" top="0.31496062992125984" bottom="0.31496062992125984" header="0.31496062992125984" footer="0.31496062992125984"/>
  <pageSetup fitToHeight="3" horizontalDpi="600" verticalDpi="600" orientation="portrait" paperSize="9" scale="49" r:id="rId1"/>
  <rowBreaks count="2" manualBreakCount="2">
    <brk id="43" max="9" man="1"/>
    <brk id="7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L21"/>
  <sheetViews>
    <sheetView view="pageBreakPreview" zoomScale="60" zoomScalePageLayoutView="0" workbookViewId="0" topLeftCell="A1">
      <selection activeCell="D20" sqref="D20"/>
    </sheetView>
  </sheetViews>
  <sheetFormatPr defaultColWidth="9.140625" defaultRowHeight="15"/>
  <cols>
    <col min="1" max="1" width="22.28125" style="15" customWidth="1"/>
    <col min="2" max="3" width="9.28125" style="15" bestFit="1" customWidth="1"/>
    <col min="4" max="4" width="15.57421875" style="15" bestFit="1" customWidth="1"/>
    <col min="5" max="6" width="9.28125" style="15" bestFit="1" customWidth="1"/>
    <col min="7" max="7" width="15.57421875" style="15" bestFit="1" customWidth="1"/>
    <col min="8" max="12" width="9.28125" style="15" bestFit="1" customWidth="1"/>
    <col min="13" max="16384" width="9.140625" style="15" customWidth="1"/>
  </cols>
  <sheetData>
    <row r="2" spans="1:10" ht="21" customHeight="1">
      <c r="A2" s="2" t="s">
        <v>417</v>
      </c>
      <c r="J2" s="1" t="s">
        <v>34</v>
      </c>
    </row>
    <row r="3" ht="15.75">
      <c r="A3" s="1"/>
    </row>
    <row r="4" spans="1:12" s="30" customFormat="1" ht="36" customHeight="1">
      <c r="A4" s="212" t="s">
        <v>2</v>
      </c>
      <c r="B4" s="212" t="s">
        <v>3</v>
      </c>
      <c r="C4" s="212" t="s">
        <v>117</v>
      </c>
      <c r="D4" s="212" t="s">
        <v>35</v>
      </c>
      <c r="E4" s="212"/>
      <c r="F4" s="212"/>
      <c r="G4" s="212"/>
      <c r="H4" s="212"/>
      <c r="I4" s="212"/>
      <c r="J4" s="212"/>
      <c r="K4" s="212"/>
      <c r="L4" s="212"/>
    </row>
    <row r="5" spans="1:12" s="30" customFormat="1" ht="15.75">
      <c r="A5" s="212"/>
      <c r="B5" s="212"/>
      <c r="C5" s="212"/>
      <c r="D5" s="212" t="s">
        <v>36</v>
      </c>
      <c r="E5" s="212"/>
      <c r="F5" s="212"/>
      <c r="G5" s="212" t="s">
        <v>6</v>
      </c>
      <c r="H5" s="212"/>
      <c r="I5" s="212"/>
      <c r="J5" s="212"/>
      <c r="K5" s="212"/>
      <c r="L5" s="212"/>
    </row>
    <row r="6" spans="1:12" s="30" customFormat="1" ht="90" customHeight="1">
      <c r="A6" s="212"/>
      <c r="B6" s="212"/>
      <c r="C6" s="212"/>
      <c r="D6" s="212"/>
      <c r="E6" s="212"/>
      <c r="F6" s="212"/>
      <c r="G6" s="213" t="s">
        <v>114</v>
      </c>
      <c r="H6" s="213"/>
      <c r="I6" s="213"/>
      <c r="J6" s="212" t="s">
        <v>115</v>
      </c>
      <c r="K6" s="212"/>
      <c r="L6" s="212"/>
    </row>
    <row r="7" spans="1:12" s="30" customFormat="1" ht="31.5" customHeight="1">
      <c r="A7" s="212"/>
      <c r="B7" s="212"/>
      <c r="C7" s="212"/>
      <c r="D7" s="212"/>
      <c r="E7" s="212"/>
      <c r="F7" s="212"/>
      <c r="G7" s="213"/>
      <c r="H7" s="213"/>
      <c r="I7" s="213"/>
      <c r="J7" s="212"/>
      <c r="K7" s="212"/>
      <c r="L7" s="212"/>
    </row>
    <row r="8" spans="1:12" s="30" customFormat="1" ht="17.25" customHeight="1" hidden="1">
      <c r="A8" s="212"/>
      <c r="B8" s="212"/>
      <c r="C8" s="212"/>
      <c r="D8" s="212"/>
      <c r="E8" s="212"/>
      <c r="F8" s="212"/>
      <c r="G8" s="213"/>
      <c r="H8" s="213"/>
      <c r="I8" s="213"/>
      <c r="J8" s="212"/>
      <c r="K8" s="212"/>
      <c r="L8" s="212"/>
    </row>
    <row r="9" spans="1:12" s="30" customFormat="1" ht="16.5" customHeight="1" hidden="1">
      <c r="A9" s="212"/>
      <c r="B9" s="212"/>
      <c r="C9" s="212"/>
      <c r="D9" s="212"/>
      <c r="E9" s="212"/>
      <c r="F9" s="212"/>
      <c r="G9" s="213"/>
      <c r="H9" s="213"/>
      <c r="I9" s="213"/>
      <c r="J9" s="212"/>
      <c r="K9" s="212"/>
      <c r="L9" s="212"/>
    </row>
    <row r="10" spans="1:12" s="30" customFormat="1" ht="15">
      <c r="A10" s="212"/>
      <c r="B10" s="212"/>
      <c r="C10" s="212"/>
      <c r="D10" s="12" t="s">
        <v>37</v>
      </c>
      <c r="E10" s="12" t="s">
        <v>41</v>
      </c>
      <c r="F10" s="12" t="s">
        <v>41</v>
      </c>
      <c r="G10" s="12" t="s">
        <v>41</v>
      </c>
      <c r="H10" s="12" t="s">
        <v>41</v>
      </c>
      <c r="I10" s="12" t="s">
        <v>41</v>
      </c>
      <c r="J10" s="12" t="s">
        <v>41</v>
      </c>
      <c r="K10" s="12" t="s">
        <v>41</v>
      </c>
      <c r="L10" s="12" t="s">
        <v>47</v>
      </c>
    </row>
    <row r="11" spans="1:12" s="30" customFormat="1" ht="25.5">
      <c r="A11" s="212"/>
      <c r="B11" s="212"/>
      <c r="C11" s="212"/>
      <c r="D11" s="12" t="s">
        <v>38</v>
      </c>
      <c r="E11" s="12" t="s">
        <v>42</v>
      </c>
      <c r="F11" s="12" t="s">
        <v>45</v>
      </c>
      <c r="G11" s="12" t="s">
        <v>38</v>
      </c>
      <c r="H11" s="12" t="s">
        <v>42</v>
      </c>
      <c r="I11" s="12" t="s">
        <v>45</v>
      </c>
      <c r="J11" s="12" t="s">
        <v>38</v>
      </c>
      <c r="K11" s="12" t="s">
        <v>46</v>
      </c>
      <c r="L11" s="12" t="s">
        <v>42</v>
      </c>
    </row>
    <row r="12" spans="1:12" s="30" customFormat="1" ht="25.5">
      <c r="A12" s="212"/>
      <c r="B12" s="212"/>
      <c r="C12" s="212"/>
      <c r="D12" s="12" t="s">
        <v>39</v>
      </c>
      <c r="E12" s="12" t="s">
        <v>43</v>
      </c>
      <c r="F12" s="12" t="s">
        <v>43</v>
      </c>
      <c r="G12" s="12" t="s">
        <v>39</v>
      </c>
      <c r="H12" s="12" t="s">
        <v>43</v>
      </c>
      <c r="I12" s="12" t="s">
        <v>43</v>
      </c>
      <c r="J12" s="12" t="s">
        <v>39</v>
      </c>
      <c r="K12" s="12" t="s">
        <v>43</v>
      </c>
      <c r="L12" s="12" t="s">
        <v>48</v>
      </c>
    </row>
    <row r="13" spans="1:12" s="30" customFormat="1" ht="15">
      <c r="A13" s="212"/>
      <c r="B13" s="212"/>
      <c r="C13" s="212"/>
      <c r="D13" s="12" t="s">
        <v>40</v>
      </c>
      <c r="E13" s="12" t="s">
        <v>44</v>
      </c>
      <c r="F13" s="12" t="s">
        <v>44</v>
      </c>
      <c r="G13" s="12" t="s">
        <v>40</v>
      </c>
      <c r="H13" s="12" t="s">
        <v>44</v>
      </c>
      <c r="I13" s="12" t="s">
        <v>44</v>
      </c>
      <c r="J13" s="12" t="s">
        <v>40</v>
      </c>
      <c r="K13" s="12" t="s">
        <v>44</v>
      </c>
      <c r="L13" s="17"/>
    </row>
    <row r="14" spans="1:12" s="30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</row>
    <row r="15" spans="1:12" s="30" customFormat="1" ht="15">
      <c r="A15" s="224" t="s">
        <v>127</v>
      </c>
      <c r="B15" s="226" t="s">
        <v>52</v>
      </c>
      <c r="C15" s="212" t="s">
        <v>9</v>
      </c>
      <c r="D15" s="205">
        <f>G15</f>
        <v>24799118.97</v>
      </c>
      <c r="E15" s="205"/>
      <c r="F15" s="205"/>
      <c r="G15" s="205">
        <f>G19</f>
        <v>24799118.97</v>
      </c>
      <c r="H15" s="204"/>
      <c r="I15" s="204"/>
      <c r="J15" s="204"/>
      <c r="K15" s="204"/>
      <c r="L15" s="204"/>
    </row>
    <row r="16" spans="1:12" s="30" customFormat="1" ht="53.25" customHeight="1">
      <c r="A16" s="225"/>
      <c r="B16" s="226"/>
      <c r="C16" s="212"/>
      <c r="D16" s="205"/>
      <c r="E16" s="205"/>
      <c r="F16" s="205"/>
      <c r="G16" s="205"/>
      <c r="H16" s="204"/>
      <c r="I16" s="204"/>
      <c r="J16" s="204"/>
      <c r="K16" s="204"/>
      <c r="L16" s="204"/>
    </row>
    <row r="17" spans="1:12" s="30" customFormat="1" ht="15.75">
      <c r="A17" s="3" t="s">
        <v>6</v>
      </c>
      <c r="B17" s="18"/>
      <c r="C17" s="20"/>
      <c r="D17" s="46"/>
      <c r="E17" s="46"/>
      <c r="F17" s="46"/>
      <c r="G17" s="46"/>
      <c r="H17" s="18"/>
      <c r="I17" s="18"/>
      <c r="J17" s="18"/>
      <c r="K17" s="18"/>
      <c r="L17" s="18"/>
    </row>
    <row r="18" spans="1:12" s="30" customFormat="1" ht="80.25" customHeight="1">
      <c r="A18" s="3" t="s">
        <v>50</v>
      </c>
      <c r="B18" s="20">
        <v>1001</v>
      </c>
      <c r="C18" s="20" t="s">
        <v>51</v>
      </c>
      <c r="D18" s="46"/>
      <c r="E18" s="46"/>
      <c r="F18" s="46"/>
      <c r="G18" s="46"/>
      <c r="H18" s="18"/>
      <c r="I18" s="18"/>
      <c r="J18" s="18"/>
      <c r="K18" s="18"/>
      <c r="L18" s="18"/>
    </row>
    <row r="19" spans="1:12" s="30" customFormat="1" ht="63" customHeight="1">
      <c r="A19" s="3" t="s">
        <v>49</v>
      </c>
      <c r="B19" s="20">
        <v>2001</v>
      </c>
      <c r="C19" s="18"/>
      <c r="D19" s="46">
        <f>G19</f>
        <v>24799118.97</v>
      </c>
      <c r="E19" s="46"/>
      <c r="F19" s="46"/>
      <c r="G19" s="46">
        <v>24799118.97</v>
      </c>
      <c r="H19" s="18"/>
      <c r="I19" s="18"/>
      <c r="J19" s="18"/>
      <c r="K19" s="18"/>
      <c r="L19" s="18"/>
    </row>
    <row r="20" spans="1:12" ht="15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ht="15.75">
      <c r="A21" s="5"/>
    </row>
  </sheetData>
  <sheetProtection/>
  <mergeCells count="20">
    <mergeCell ref="K15:K16"/>
    <mergeCell ref="B15:B16"/>
    <mergeCell ref="G6:I9"/>
    <mergeCell ref="J6:L9"/>
    <mergeCell ref="A4:A13"/>
    <mergeCell ref="B4:B13"/>
    <mergeCell ref="D4:L4"/>
    <mergeCell ref="D5:F9"/>
    <mergeCell ref="G5:L5"/>
    <mergeCell ref="C4:C13"/>
    <mergeCell ref="C15:C16"/>
    <mergeCell ref="D15:D16"/>
    <mergeCell ref="E15:E16"/>
    <mergeCell ref="F15:F16"/>
    <mergeCell ref="A15:A16"/>
    <mergeCell ref="L15:L16"/>
    <mergeCell ref="G15:G16"/>
    <mergeCell ref="H15:H16"/>
    <mergeCell ref="I15:I16"/>
    <mergeCell ref="J15:J16"/>
  </mergeCells>
  <printOptions/>
  <pageMargins left="0.7" right="0.2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32"/>
  <sheetViews>
    <sheetView view="pageBreakPreview" zoomScale="90" zoomScaleNormal="68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41.28125" style="15" customWidth="1"/>
    <col min="2" max="2" width="21.421875" style="15" customWidth="1"/>
    <col min="3" max="3" width="34.00390625" style="15" customWidth="1"/>
    <col min="4" max="16384" width="9.140625" style="15" customWidth="1"/>
  </cols>
  <sheetData>
    <row r="2" spans="1:7" ht="37.5" customHeight="1">
      <c r="A2" s="208" t="s">
        <v>418</v>
      </c>
      <c r="B2" s="208"/>
      <c r="C2" s="208"/>
      <c r="G2" s="2" t="s">
        <v>53</v>
      </c>
    </row>
    <row r="3" spans="1:3" ht="15.75">
      <c r="A3" s="1"/>
      <c r="C3" s="8"/>
    </row>
    <row r="4" spans="1:3" ht="15.75">
      <c r="A4" s="1"/>
      <c r="C4" s="8" t="s">
        <v>118</v>
      </c>
    </row>
    <row r="5" spans="1:3" ht="47.25">
      <c r="A5" s="10" t="s">
        <v>2</v>
      </c>
      <c r="B5" s="10" t="s">
        <v>3</v>
      </c>
      <c r="C5" s="10" t="s">
        <v>54</v>
      </c>
    </row>
    <row r="6" spans="1:3" ht="15.75">
      <c r="A6" s="10">
        <v>1</v>
      </c>
      <c r="B6" s="10">
        <v>2</v>
      </c>
      <c r="C6" s="10">
        <v>3</v>
      </c>
    </row>
    <row r="7" spans="1:3" ht="15.75">
      <c r="A7" s="3" t="s">
        <v>26</v>
      </c>
      <c r="B7" s="10">
        <v>10</v>
      </c>
      <c r="C7" s="11">
        <v>0</v>
      </c>
    </row>
    <row r="8" spans="1:3" ht="15.75">
      <c r="A8" s="3" t="s">
        <v>27</v>
      </c>
      <c r="B8" s="10">
        <v>20</v>
      </c>
      <c r="C8" s="11">
        <v>0</v>
      </c>
    </row>
    <row r="9" spans="1:3" ht="15.75">
      <c r="A9" s="3" t="s">
        <v>55</v>
      </c>
      <c r="B9" s="10">
        <v>30</v>
      </c>
      <c r="C9" s="11">
        <v>0</v>
      </c>
    </row>
    <row r="10" spans="1:3" ht="15.75">
      <c r="A10" s="11"/>
      <c r="B10" s="11"/>
      <c r="C10" s="11"/>
    </row>
    <row r="11" spans="1:3" ht="15.75">
      <c r="A11" s="3" t="s">
        <v>56</v>
      </c>
      <c r="B11" s="10">
        <v>40</v>
      </c>
      <c r="C11" s="11">
        <v>0</v>
      </c>
    </row>
    <row r="12" spans="1:3" ht="15.75">
      <c r="A12" s="11"/>
      <c r="B12" s="11"/>
      <c r="C12" s="11"/>
    </row>
    <row r="13" ht="15.75">
      <c r="A13" s="1"/>
    </row>
    <row r="14" ht="15.75">
      <c r="A14" s="2" t="s">
        <v>57</v>
      </c>
    </row>
    <row r="15" spans="1:3" ht="15.75">
      <c r="A15" s="1"/>
      <c r="C15" s="8" t="s">
        <v>58</v>
      </c>
    </row>
    <row r="16" spans="1:3" ht="15.75">
      <c r="A16" s="10" t="s">
        <v>2</v>
      </c>
      <c r="B16" s="10" t="s">
        <v>3</v>
      </c>
      <c r="C16" s="10" t="s">
        <v>59</v>
      </c>
    </row>
    <row r="17" spans="1:3" ht="15.75">
      <c r="A17" s="10">
        <v>1</v>
      </c>
      <c r="B17" s="10">
        <v>2</v>
      </c>
      <c r="C17" s="10">
        <v>3</v>
      </c>
    </row>
    <row r="18" spans="1:3" ht="15.75">
      <c r="A18" s="3" t="s">
        <v>60</v>
      </c>
      <c r="B18" s="10">
        <v>10</v>
      </c>
      <c r="C18" s="11">
        <v>0</v>
      </c>
    </row>
    <row r="19" spans="1:3" ht="60">
      <c r="A19" s="16" t="s">
        <v>62</v>
      </c>
      <c r="B19" s="10">
        <v>20</v>
      </c>
      <c r="C19" s="11">
        <v>0</v>
      </c>
    </row>
    <row r="20" spans="1:3" ht="31.5">
      <c r="A20" s="3" t="s">
        <v>61</v>
      </c>
      <c r="B20" s="10">
        <v>30</v>
      </c>
      <c r="C20" s="11">
        <v>0</v>
      </c>
    </row>
    <row r="21" ht="15.75">
      <c r="A21" s="1"/>
    </row>
    <row r="22" ht="15.75">
      <c r="A22" s="1"/>
    </row>
    <row r="23" ht="15.75">
      <c r="A23" s="1"/>
    </row>
    <row r="24" ht="15.75">
      <c r="A24" s="5"/>
    </row>
    <row r="25" spans="1:3" ht="60.75" customHeight="1">
      <c r="A25" s="6" t="s">
        <v>128</v>
      </c>
      <c r="C25" s="6" t="s">
        <v>129</v>
      </c>
    </row>
    <row r="26" spans="1:3" ht="15.75">
      <c r="A26" s="5"/>
      <c r="C26" s="5"/>
    </row>
    <row r="27" spans="1:3" ht="15.75">
      <c r="A27" s="5"/>
      <c r="C27" s="5"/>
    </row>
    <row r="28" spans="1:3" ht="31.5">
      <c r="A28" s="5" t="s">
        <v>255</v>
      </c>
      <c r="C28" s="5" t="s">
        <v>256</v>
      </c>
    </row>
    <row r="29" spans="1:3" ht="35.25" customHeight="1">
      <c r="A29" s="7"/>
      <c r="C29" s="7"/>
    </row>
    <row r="30" ht="15.75">
      <c r="A30" s="5"/>
    </row>
    <row r="31" ht="15.75">
      <c r="A31" s="5"/>
    </row>
    <row r="32" ht="15.75">
      <c r="A32" s="5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6">
      <selection activeCell="J47" sqref="J47"/>
    </sheetView>
  </sheetViews>
  <sheetFormatPr defaultColWidth="9.140625" defaultRowHeight="15"/>
  <cols>
    <col min="1" max="1" width="5.57421875" style="15" customWidth="1"/>
    <col min="2" max="2" width="17.8515625" style="15" customWidth="1"/>
    <col min="3" max="3" width="9.140625" style="15" customWidth="1"/>
    <col min="4" max="4" width="13.00390625" style="15" customWidth="1"/>
    <col min="5" max="5" width="14.57421875" style="15" customWidth="1"/>
    <col min="6" max="6" width="15.00390625" style="15" customWidth="1"/>
    <col min="7" max="7" width="14.7109375" style="15" customWidth="1"/>
    <col min="8" max="8" width="9.8515625" style="15" customWidth="1"/>
    <col min="9" max="9" width="8.421875" style="15" customWidth="1"/>
    <col min="10" max="10" width="16.8515625" style="15" customWidth="1"/>
    <col min="11" max="11" width="12.7109375" style="15" bestFit="1" customWidth="1"/>
    <col min="12" max="16384" width="9.140625" style="15" customWidth="1"/>
  </cols>
  <sheetData>
    <row r="1" ht="15.75">
      <c r="A1" s="5"/>
    </row>
    <row r="2" spans="1:10" ht="45.75" customHeight="1">
      <c r="A2" s="208" t="s">
        <v>326</v>
      </c>
      <c r="B2" s="208"/>
      <c r="C2" s="208"/>
      <c r="D2" s="208"/>
      <c r="E2" s="208"/>
      <c r="F2" s="208"/>
      <c r="G2" s="208"/>
      <c r="H2" s="208"/>
      <c r="I2" s="208"/>
      <c r="J2" s="208"/>
    </row>
    <row r="3" ht="15.75">
      <c r="A3" s="123"/>
    </row>
    <row r="4" ht="15.75">
      <c r="A4" s="7" t="s">
        <v>120</v>
      </c>
    </row>
    <row r="5" spans="1:10" ht="41.25" customHeight="1">
      <c r="A5" s="227" t="s">
        <v>63</v>
      </c>
      <c r="B5" s="227"/>
      <c r="C5" s="227"/>
      <c r="D5" s="212" t="s">
        <v>412</v>
      </c>
      <c r="E5" s="212"/>
      <c r="F5" s="212"/>
      <c r="G5" s="212"/>
      <c r="H5" s="212"/>
      <c r="I5" s="212"/>
      <c r="J5" s="212"/>
    </row>
    <row r="6" spans="1:10" ht="38.25" customHeight="1">
      <c r="A6" s="227" t="s">
        <v>64</v>
      </c>
      <c r="B6" s="227"/>
      <c r="C6" s="227"/>
      <c r="D6" s="212" t="s">
        <v>276</v>
      </c>
      <c r="E6" s="212"/>
      <c r="F6" s="212"/>
      <c r="G6" s="212"/>
      <c r="H6" s="212"/>
      <c r="I6" s="212"/>
      <c r="J6" s="212"/>
    </row>
    <row r="7" ht="15.75">
      <c r="A7" s="2" t="s">
        <v>65</v>
      </c>
    </row>
    <row r="8" spans="1:10" ht="31.5" customHeight="1">
      <c r="A8" s="212" t="s">
        <v>66</v>
      </c>
      <c r="B8" s="212" t="s">
        <v>67</v>
      </c>
      <c r="C8" s="212" t="s">
        <v>68</v>
      </c>
      <c r="D8" s="212" t="s">
        <v>69</v>
      </c>
      <c r="E8" s="212"/>
      <c r="F8" s="212"/>
      <c r="G8" s="212"/>
      <c r="H8" s="212" t="s">
        <v>70</v>
      </c>
      <c r="I8" s="212" t="s">
        <v>71</v>
      </c>
      <c r="J8" s="212" t="s">
        <v>72</v>
      </c>
    </row>
    <row r="9" spans="1:10" ht="15.75">
      <c r="A9" s="212"/>
      <c r="B9" s="212"/>
      <c r="C9" s="212"/>
      <c r="D9" s="212" t="s">
        <v>5</v>
      </c>
      <c r="E9" s="212" t="s">
        <v>6</v>
      </c>
      <c r="F9" s="212"/>
      <c r="G9" s="212"/>
      <c r="H9" s="212"/>
      <c r="I9" s="212"/>
      <c r="J9" s="212"/>
    </row>
    <row r="10" spans="1:10" ht="96.75" customHeight="1">
      <c r="A10" s="212"/>
      <c r="B10" s="212"/>
      <c r="C10" s="212"/>
      <c r="D10" s="212"/>
      <c r="E10" s="124" t="s">
        <v>73</v>
      </c>
      <c r="F10" s="124" t="s">
        <v>74</v>
      </c>
      <c r="G10" s="124" t="s">
        <v>75</v>
      </c>
      <c r="H10" s="212"/>
      <c r="I10" s="212"/>
      <c r="J10" s="212"/>
    </row>
    <row r="11" spans="1:10" s="41" customFormat="1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1" ht="15">
      <c r="A12" s="13">
        <v>1</v>
      </c>
      <c r="B12" s="13" t="s">
        <v>258</v>
      </c>
      <c r="C12" s="13">
        <v>1</v>
      </c>
      <c r="D12" s="31">
        <f>E12+F12+G12</f>
        <v>33030</v>
      </c>
      <c r="E12" s="31">
        <v>33030</v>
      </c>
      <c r="F12" s="31">
        <v>0</v>
      </c>
      <c r="G12" s="31"/>
      <c r="H12" s="31">
        <f>D12*80%</f>
        <v>26424</v>
      </c>
      <c r="I12" s="31">
        <f>D12*70%</f>
        <v>23121</v>
      </c>
      <c r="J12" s="31">
        <f>(D12+H12+I12)*12*C12</f>
        <v>990900</v>
      </c>
      <c r="K12" s="75"/>
    </row>
    <row r="13" spans="1:11" ht="25.5">
      <c r="A13" s="13">
        <v>2</v>
      </c>
      <c r="B13" s="13" t="s">
        <v>259</v>
      </c>
      <c r="C13" s="13">
        <v>1</v>
      </c>
      <c r="D13" s="31">
        <f>E13+F13+G13</f>
        <v>24772.5</v>
      </c>
      <c r="E13" s="31">
        <v>24772.5</v>
      </c>
      <c r="F13" s="31">
        <v>0</v>
      </c>
      <c r="G13" s="31"/>
      <c r="H13" s="31">
        <f>E13*80%</f>
        <v>19818</v>
      </c>
      <c r="I13" s="31">
        <f>D13*70%</f>
        <v>17340.75</v>
      </c>
      <c r="J13" s="31">
        <f>(D13+H13+I13)*12*C13</f>
        <v>743175</v>
      </c>
      <c r="K13" s="75"/>
    </row>
    <row r="14" spans="1:11" ht="25.5">
      <c r="A14" s="13">
        <v>3</v>
      </c>
      <c r="B14" s="13" t="s">
        <v>260</v>
      </c>
      <c r="C14" s="13">
        <v>0.75</v>
      </c>
      <c r="D14" s="31">
        <f>E14+F14+G14</f>
        <v>21675.93</v>
      </c>
      <c r="E14" s="31">
        <v>21675.93</v>
      </c>
      <c r="F14" s="31"/>
      <c r="G14" s="31"/>
      <c r="H14" s="31">
        <f>E14*80%</f>
        <v>17340.744000000002</v>
      </c>
      <c r="I14" s="31">
        <f>E14*70%</f>
        <v>15173.151</v>
      </c>
      <c r="J14" s="31">
        <f>(D14+H14+I14)*12*C14+32514.11</f>
        <v>520222.5349999999</v>
      </c>
      <c r="K14" s="75"/>
    </row>
    <row r="15" spans="1:11" ht="25.5">
      <c r="A15" s="13">
        <v>4</v>
      </c>
      <c r="B15" s="13" t="s">
        <v>261</v>
      </c>
      <c r="C15" s="13">
        <v>0.5</v>
      </c>
      <c r="D15" s="31">
        <f>E15+F15+G15</f>
        <v>23121</v>
      </c>
      <c r="E15" s="31">
        <v>23121</v>
      </c>
      <c r="F15" s="31"/>
      <c r="G15" s="31"/>
      <c r="H15" s="31">
        <f>E15*80%</f>
        <v>18496.8</v>
      </c>
      <c r="I15" s="31">
        <f>E15*70%</f>
        <v>16184.699999999999</v>
      </c>
      <c r="J15" s="31">
        <f>(D15+H15+I15)*12*C15</f>
        <v>346815</v>
      </c>
      <c r="K15" s="75"/>
    </row>
    <row r="16" spans="1:11" ht="25.5">
      <c r="A16" s="13">
        <v>5</v>
      </c>
      <c r="B16" s="13" t="s">
        <v>262</v>
      </c>
      <c r="C16" s="13">
        <v>1</v>
      </c>
      <c r="D16" s="31">
        <v>11162.7</v>
      </c>
      <c r="E16" s="31">
        <v>4402</v>
      </c>
      <c r="F16" s="31">
        <v>6760.7</v>
      </c>
      <c r="G16" s="31"/>
      <c r="H16" s="31">
        <v>8930.16</v>
      </c>
      <c r="I16" s="31">
        <v>7813.89</v>
      </c>
      <c r="J16" s="31">
        <f>(D16+H16+I16)*12*C16</f>
        <v>334881</v>
      </c>
      <c r="K16" s="75"/>
    </row>
    <row r="17" spans="1:11" ht="15">
      <c r="A17" s="13">
        <v>6</v>
      </c>
      <c r="B17" s="13" t="s">
        <v>263</v>
      </c>
      <c r="C17" s="13">
        <v>1</v>
      </c>
      <c r="D17" s="31">
        <v>11162.7</v>
      </c>
      <c r="E17" s="31">
        <v>4402</v>
      </c>
      <c r="F17" s="31">
        <v>6760</v>
      </c>
      <c r="G17" s="31"/>
      <c r="H17" s="31">
        <v>8930.4</v>
      </c>
      <c r="I17" s="31">
        <v>7814.1</v>
      </c>
      <c r="J17" s="31">
        <f>(D17+H17+I17)*12*C17</f>
        <v>334886.39999999997</v>
      </c>
      <c r="K17" s="75"/>
    </row>
    <row r="18" spans="1:11" ht="15">
      <c r="A18" s="13">
        <v>7</v>
      </c>
      <c r="B18" s="13" t="s">
        <v>264</v>
      </c>
      <c r="C18" s="13">
        <v>1</v>
      </c>
      <c r="D18" s="31">
        <v>11162.7</v>
      </c>
      <c r="E18" s="31">
        <v>4402</v>
      </c>
      <c r="F18" s="31">
        <v>6760</v>
      </c>
      <c r="G18" s="31"/>
      <c r="H18" s="31">
        <v>8930.4</v>
      </c>
      <c r="I18" s="31">
        <v>7814.1</v>
      </c>
      <c r="J18" s="31">
        <f aca="true" t="shared" si="0" ref="J18:J27">(D18+H18+I18)*12*C18</f>
        <v>334886.39999999997</v>
      </c>
      <c r="K18" s="75"/>
    </row>
    <row r="19" spans="1:11" ht="15">
      <c r="A19" s="13">
        <v>8</v>
      </c>
      <c r="B19" s="13" t="s">
        <v>394</v>
      </c>
      <c r="C19" s="13">
        <v>1</v>
      </c>
      <c r="D19" s="31">
        <v>11162.7</v>
      </c>
      <c r="E19" s="31">
        <v>4402</v>
      </c>
      <c r="F19" s="31">
        <v>6760</v>
      </c>
      <c r="G19" s="31"/>
      <c r="H19" s="31">
        <v>8930.4</v>
      </c>
      <c r="I19" s="31">
        <v>7814.1</v>
      </c>
      <c r="J19" s="31">
        <f t="shared" si="0"/>
        <v>334886.39999999997</v>
      </c>
      <c r="K19" s="75"/>
    </row>
    <row r="20" spans="1:11" ht="25.5">
      <c r="A20" s="13">
        <v>9</v>
      </c>
      <c r="B20" s="13" t="s">
        <v>265</v>
      </c>
      <c r="C20" s="13">
        <v>1</v>
      </c>
      <c r="D20" s="31">
        <v>11162.7</v>
      </c>
      <c r="E20" s="31">
        <v>4402</v>
      </c>
      <c r="F20" s="31">
        <v>6760</v>
      </c>
      <c r="G20" s="31"/>
      <c r="H20" s="31">
        <v>8930.4</v>
      </c>
      <c r="I20" s="31">
        <v>7814.1</v>
      </c>
      <c r="J20" s="31">
        <f t="shared" si="0"/>
        <v>334886.39999999997</v>
      </c>
      <c r="K20" s="75"/>
    </row>
    <row r="21" spans="1:12" ht="15">
      <c r="A21" s="13">
        <v>10</v>
      </c>
      <c r="B21" s="13" t="s">
        <v>267</v>
      </c>
      <c r="C21" s="13">
        <v>34</v>
      </c>
      <c r="D21" s="31">
        <f>E21+F21+G21</f>
        <v>17592.4</v>
      </c>
      <c r="E21" s="31">
        <v>8934.17</v>
      </c>
      <c r="F21" s="31">
        <v>8658.23</v>
      </c>
      <c r="G21" s="31"/>
      <c r="H21" s="31">
        <v>11677.12</v>
      </c>
      <c r="I21" s="31">
        <v>10217.48</v>
      </c>
      <c r="J21" s="71">
        <f>17286307.82+2673793.1</f>
        <v>19960100.92</v>
      </c>
      <c r="K21" s="75"/>
      <c r="L21" s="77"/>
    </row>
    <row r="22" spans="1:11" ht="15">
      <c r="A22" s="13">
        <v>11</v>
      </c>
      <c r="B22" s="13" t="s">
        <v>268</v>
      </c>
      <c r="C22" s="13">
        <v>1</v>
      </c>
      <c r="D22" s="31">
        <v>11163</v>
      </c>
      <c r="E22" s="31">
        <v>3060</v>
      </c>
      <c r="F22" s="31">
        <v>8103</v>
      </c>
      <c r="G22" s="31"/>
      <c r="H22" s="31">
        <f aca="true" t="shared" si="1" ref="H22:H27">D22*80%</f>
        <v>8930.4</v>
      </c>
      <c r="I22" s="31">
        <f aca="true" t="shared" si="2" ref="I22:I27">D22*70%</f>
        <v>7814.099999999999</v>
      </c>
      <c r="J22" s="31">
        <f t="shared" si="0"/>
        <v>334890</v>
      </c>
      <c r="K22" s="75"/>
    </row>
    <row r="23" spans="1:11" ht="15">
      <c r="A23" s="13">
        <v>12</v>
      </c>
      <c r="B23" s="13" t="s">
        <v>269</v>
      </c>
      <c r="C23" s="13">
        <v>1</v>
      </c>
      <c r="D23" s="31">
        <v>11163</v>
      </c>
      <c r="E23" s="31">
        <v>3857</v>
      </c>
      <c r="F23" s="31">
        <v>7306</v>
      </c>
      <c r="G23" s="31"/>
      <c r="H23" s="31">
        <f t="shared" si="1"/>
        <v>8930.4</v>
      </c>
      <c r="I23" s="31">
        <f t="shared" si="2"/>
        <v>7814.099999999999</v>
      </c>
      <c r="J23" s="31">
        <f t="shared" si="0"/>
        <v>334890</v>
      </c>
      <c r="K23" s="75"/>
    </row>
    <row r="24" spans="1:11" ht="25.5">
      <c r="A24" s="13">
        <v>13</v>
      </c>
      <c r="B24" s="13" t="s">
        <v>270</v>
      </c>
      <c r="C24" s="13">
        <v>1</v>
      </c>
      <c r="D24" s="31">
        <v>11163</v>
      </c>
      <c r="E24" s="31">
        <v>3192</v>
      </c>
      <c r="F24" s="31">
        <v>7971</v>
      </c>
      <c r="G24" s="31"/>
      <c r="H24" s="31">
        <f t="shared" si="1"/>
        <v>8930.4</v>
      </c>
      <c r="I24" s="31">
        <f t="shared" si="2"/>
        <v>7814.099999999999</v>
      </c>
      <c r="J24" s="31">
        <f t="shared" si="0"/>
        <v>334890</v>
      </c>
      <c r="K24" s="75"/>
    </row>
    <row r="25" spans="1:11" ht="25.5">
      <c r="A25" s="13">
        <v>14</v>
      </c>
      <c r="B25" s="13" t="s">
        <v>283</v>
      </c>
      <c r="C25" s="13">
        <v>6</v>
      </c>
      <c r="D25" s="31">
        <v>11163</v>
      </c>
      <c r="E25" s="31">
        <v>2394</v>
      </c>
      <c r="F25" s="31">
        <v>8769</v>
      </c>
      <c r="G25" s="31"/>
      <c r="H25" s="31">
        <f t="shared" si="1"/>
        <v>8930.4</v>
      </c>
      <c r="I25" s="31">
        <f t="shared" si="2"/>
        <v>7814.099999999999</v>
      </c>
      <c r="J25" s="31">
        <f t="shared" si="0"/>
        <v>2009340</v>
      </c>
      <c r="K25" s="76"/>
    </row>
    <row r="26" spans="1:11" ht="15">
      <c r="A26" s="13">
        <v>15</v>
      </c>
      <c r="B26" s="13" t="s">
        <v>327</v>
      </c>
      <c r="C26" s="13">
        <v>2</v>
      </c>
      <c r="D26" s="31">
        <v>11163</v>
      </c>
      <c r="E26" s="31">
        <v>2394</v>
      </c>
      <c r="F26" s="31">
        <v>8769</v>
      </c>
      <c r="G26" s="31"/>
      <c r="H26" s="31">
        <f t="shared" si="1"/>
        <v>8930.4</v>
      </c>
      <c r="I26" s="31">
        <f t="shared" si="2"/>
        <v>7814.099999999999</v>
      </c>
      <c r="J26" s="31">
        <f t="shared" si="0"/>
        <v>669780</v>
      </c>
      <c r="K26" s="76"/>
    </row>
    <row r="27" spans="1:11" ht="15">
      <c r="A27" s="13">
        <v>16</v>
      </c>
      <c r="B27" s="13" t="s">
        <v>285</v>
      </c>
      <c r="C27" s="13">
        <v>1</v>
      </c>
      <c r="D27" s="31">
        <v>11163</v>
      </c>
      <c r="E27" s="31">
        <v>2394</v>
      </c>
      <c r="F27" s="31">
        <v>8769</v>
      </c>
      <c r="G27" s="31"/>
      <c r="H27" s="31">
        <f t="shared" si="1"/>
        <v>8930.4</v>
      </c>
      <c r="I27" s="31">
        <f t="shared" si="2"/>
        <v>7814.099999999999</v>
      </c>
      <c r="J27" s="31">
        <f t="shared" si="0"/>
        <v>334890</v>
      </c>
      <c r="K27" s="76"/>
    </row>
    <row r="28" spans="1:11" ht="18.75">
      <c r="A28" s="228" t="s">
        <v>223</v>
      </c>
      <c r="B28" s="228"/>
      <c r="C28" s="22" t="s">
        <v>77</v>
      </c>
      <c r="D28" s="39">
        <f>SUM(D12:D24)</f>
        <v>209494.33000000002</v>
      </c>
      <c r="E28" s="22" t="s">
        <v>77</v>
      </c>
      <c r="F28" s="22" t="s">
        <v>77</v>
      </c>
      <c r="G28" s="22" t="s">
        <v>77</v>
      </c>
      <c r="H28" s="22" t="s">
        <v>77</v>
      </c>
      <c r="I28" s="22" t="s">
        <v>77</v>
      </c>
      <c r="J28" s="39">
        <f>SUM(J12:J27)</f>
        <v>28254320.055</v>
      </c>
      <c r="K28" s="78"/>
    </row>
    <row r="29" spans="1:11" ht="15" customHeight="1" hidden="1">
      <c r="A29" s="13"/>
      <c r="B29" s="13" t="s">
        <v>258</v>
      </c>
      <c r="C29" s="13">
        <v>1</v>
      </c>
      <c r="D29" s="31">
        <f>E29+F29+G29</f>
        <v>33333.33</v>
      </c>
      <c r="E29" s="31"/>
      <c r="F29" s="31"/>
      <c r="G29" s="31">
        <v>33333.33</v>
      </c>
      <c r="H29" s="31"/>
      <c r="I29" s="31"/>
      <c r="J29" s="31">
        <f aca="true" t="shared" si="3" ref="J29:J41">(D29+H29+I29)*C29*12</f>
        <v>399999.96</v>
      </c>
      <c r="K29" s="78"/>
    </row>
    <row r="30" spans="1:11" ht="25.5" customHeight="1" hidden="1">
      <c r="A30" s="13"/>
      <c r="B30" s="13" t="s">
        <v>259</v>
      </c>
      <c r="C30" s="13">
        <v>1</v>
      </c>
      <c r="D30" s="31">
        <f aca="true" t="shared" si="4" ref="D30:D41">E30+F30+G30</f>
        <v>29108.32</v>
      </c>
      <c r="E30" s="31"/>
      <c r="F30" s="31"/>
      <c r="G30" s="31">
        <v>29108.32</v>
      </c>
      <c r="H30" s="31"/>
      <c r="I30" s="31"/>
      <c r="J30" s="31">
        <f t="shared" si="3"/>
        <v>349299.83999999997</v>
      </c>
      <c r="K30" s="78"/>
    </row>
    <row r="31" spans="1:11" ht="25.5" customHeight="1" hidden="1">
      <c r="A31" s="13"/>
      <c r="B31" s="13" t="s">
        <v>260</v>
      </c>
      <c r="C31" s="13">
        <v>0.75</v>
      </c>
      <c r="D31" s="31">
        <f t="shared" si="4"/>
        <v>29108.32</v>
      </c>
      <c r="E31" s="31"/>
      <c r="F31" s="31"/>
      <c r="G31" s="31">
        <v>29108.32</v>
      </c>
      <c r="H31" s="31"/>
      <c r="I31" s="31"/>
      <c r="J31" s="31">
        <f t="shared" si="3"/>
        <v>261974.87999999998</v>
      </c>
      <c r="K31" s="78"/>
    </row>
    <row r="32" spans="1:11" ht="25.5" customHeight="1" hidden="1">
      <c r="A32" s="13"/>
      <c r="B32" s="13" t="s">
        <v>261</v>
      </c>
      <c r="C32" s="13">
        <v>0.5</v>
      </c>
      <c r="D32" s="31">
        <f t="shared" si="4"/>
        <v>29108.32</v>
      </c>
      <c r="E32" s="31"/>
      <c r="F32" s="31"/>
      <c r="G32" s="31">
        <v>29108.32</v>
      </c>
      <c r="H32" s="31"/>
      <c r="I32" s="31"/>
      <c r="J32" s="31">
        <f t="shared" si="3"/>
        <v>174649.91999999998</v>
      </c>
      <c r="K32" s="78"/>
    </row>
    <row r="33" spans="1:11" ht="25.5" customHeight="1" hidden="1">
      <c r="A33" s="13"/>
      <c r="B33" s="13" t="s">
        <v>262</v>
      </c>
      <c r="C33" s="13">
        <v>1</v>
      </c>
      <c r="D33" s="31">
        <f t="shared" si="4"/>
        <v>10129.06</v>
      </c>
      <c r="E33" s="31"/>
      <c r="F33" s="31"/>
      <c r="G33" s="31">
        <v>10129.06</v>
      </c>
      <c r="H33" s="31"/>
      <c r="I33" s="31"/>
      <c r="J33" s="31">
        <f t="shared" si="3"/>
        <v>121548.72</v>
      </c>
      <c r="K33" s="78"/>
    </row>
    <row r="34" spans="1:11" ht="15" customHeight="1" hidden="1">
      <c r="A34" s="13"/>
      <c r="B34" s="13" t="s">
        <v>263</v>
      </c>
      <c r="C34" s="13">
        <v>1</v>
      </c>
      <c r="D34" s="31">
        <f t="shared" si="4"/>
        <v>10129.06</v>
      </c>
      <c r="E34" s="31"/>
      <c r="F34" s="31"/>
      <c r="G34" s="31">
        <v>10129.06</v>
      </c>
      <c r="H34" s="31"/>
      <c r="I34" s="31"/>
      <c r="J34" s="31">
        <f t="shared" si="3"/>
        <v>121548.72</v>
      </c>
      <c r="K34" s="78"/>
    </row>
    <row r="35" spans="1:11" ht="15" customHeight="1" hidden="1">
      <c r="A35" s="13"/>
      <c r="B35" s="13" t="s">
        <v>264</v>
      </c>
      <c r="C35" s="13">
        <v>0.5</v>
      </c>
      <c r="D35" s="31">
        <f t="shared" si="4"/>
        <v>10129.06</v>
      </c>
      <c r="E35" s="31"/>
      <c r="F35" s="31"/>
      <c r="G35" s="31">
        <v>10129.06</v>
      </c>
      <c r="H35" s="31"/>
      <c r="I35" s="31"/>
      <c r="J35" s="31">
        <f t="shared" si="3"/>
        <v>60774.36</v>
      </c>
      <c r="K35" s="78"/>
    </row>
    <row r="36" spans="1:11" ht="25.5" customHeight="1" hidden="1">
      <c r="A36" s="13"/>
      <c r="B36" s="13" t="s">
        <v>265</v>
      </c>
      <c r="C36" s="13">
        <v>1</v>
      </c>
      <c r="D36" s="31">
        <f t="shared" si="4"/>
        <v>10129.06</v>
      </c>
      <c r="E36" s="31"/>
      <c r="F36" s="31"/>
      <c r="G36" s="31">
        <v>10129.06</v>
      </c>
      <c r="H36" s="31"/>
      <c r="I36" s="31"/>
      <c r="J36" s="31">
        <f t="shared" si="3"/>
        <v>121548.72</v>
      </c>
      <c r="K36" s="78"/>
    </row>
    <row r="37" spans="1:11" ht="15" customHeight="1" hidden="1">
      <c r="A37" s="13"/>
      <c r="B37" s="13" t="s">
        <v>266</v>
      </c>
      <c r="C37" s="13">
        <v>3</v>
      </c>
      <c r="D37" s="31">
        <f t="shared" si="4"/>
        <v>10129.06</v>
      </c>
      <c r="E37" s="31"/>
      <c r="F37" s="31"/>
      <c r="G37" s="31">
        <v>10129.06</v>
      </c>
      <c r="H37" s="31"/>
      <c r="I37" s="31"/>
      <c r="J37" s="31">
        <f t="shared" si="3"/>
        <v>364646.16000000003</v>
      </c>
      <c r="K37" s="78"/>
    </row>
    <row r="38" spans="1:11" ht="15" customHeight="1" hidden="1">
      <c r="A38" s="13"/>
      <c r="B38" s="13" t="s">
        <v>267</v>
      </c>
      <c r="C38" s="13">
        <v>34</v>
      </c>
      <c r="D38" s="31">
        <f t="shared" si="4"/>
        <v>10129.06</v>
      </c>
      <c r="E38" s="31"/>
      <c r="F38" s="31"/>
      <c r="G38" s="31">
        <f>10129.06</f>
        <v>10129.06</v>
      </c>
      <c r="H38" s="31"/>
      <c r="I38" s="31"/>
      <c r="J38" s="31">
        <f>(D38+H38+I38)*C38*12</f>
        <v>4132656.4799999995</v>
      </c>
      <c r="K38" s="78"/>
    </row>
    <row r="39" spans="1:11" ht="15" customHeight="1" hidden="1">
      <c r="A39" s="13"/>
      <c r="B39" s="13" t="s">
        <v>268</v>
      </c>
      <c r="C39" s="13">
        <v>1</v>
      </c>
      <c r="D39" s="31">
        <f t="shared" si="4"/>
        <v>11081.86</v>
      </c>
      <c r="E39" s="31"/>
      <c r="F39" s="31"/>
      <c r="G39" s="31">
        <v>11081.86</v>
      </c>
      <c r="H39" s="31"/>
      <c r="I39" s="31"/>
      <c r="J39" s="31">
        <f t="shared" si="3"/>
        <v>132982.32</v>
      </c>
      <c r="K39" s="78"/>
    </row>
    <row r="40" spans="1:11" ht="15" customHeight="1" hidden="1">
      <c r="A40" s="13"/>
      <c r="B40" s="13" t="s">
        <v>269</v>
      </c>
      <c r="C40" s="13">
        <v>1</v>
      </c>
      <c r="D40" s="31">
        <f t="shared" si="4"/>
        <v>11081.86</v>
      </c>
      <c r="E40" s="31"/>
      <c r="F40" s="31"/>
      <c r="G40" s="31">
        <v>11081.86</v>
      </c>
      <c r="H40" s="31"/>
      <c r="I40" s="31"/>
      <c r="J40" s="31">
        <f t="shared" si="3"/>
        <v>132982.32</v>
      </c>
      <c r="K40" s="78"/>
    </row>
    <row r="41" spans="1:11" ht="25.5" customHeight="1" hidden="1">
      <c r="A41" s="13"/>
      <c r="B41" s="13" t="s">
        <v>270</v>
      </c>
      <c r="C41" s="13">
        <v>1</v>
      </c>
      <c r="D41" s="31">
        <f t="shared" si="4"/>
        <v>11081.86</v>
      </c>
      <c r="E41" s="31"/>
      <c r="F41" s="31"/>
      <c r="G41" s="31">
        <v>11081.86</v>
      </c>
      <c r="H41" s="31"/>
      <c r="I41" s="31"/>
      <c r="J41" s="31">
        <f t="shared" si="3"/>
        <v>132982.32</v>
      </c>
      <c r="K41" s="78"/>
    </row>
    <row r="42" spans="1:11" ht="18.75" customHeight="1" hidden="1">
      <c r="A42" s="228" t="s">
        <v>227</v>
      </c>
      <c r="B42" s="228"/>
      <c r="C42" s="22" t="s">
        <v>77</v>
      </c>
      <c r="D42" s="38"/>
      <c r="E42" s="22" t="s">
        <v>77</v>
      </c>
      <c r="F42" s="22" t="s">
        <v>77</v>
      </c>
      <c r="G42" s="22" t="s">
        <v>77</v>
      </c>
      <c r="H42" s="22" t="s">
        <v>77</v>
      </c>
      <c r="I42" s="22" t="s">
        <v>77</v>
      </c>
      <c r="J42" s="39">
        <f>SUM(J29:J41)</f>
        <v>6507594.720000001</v>
      </c>
      <c r="K42" s="78" t="s">
        <v>273</v>
      </c>
    </row>
    <row r="43" spans="1:11" ht="18.75" customHeight="1">
      <c r="A43" s="7" t="s">
        <v>120</v>
      </c>
      <c r="K43" s="78"/>
    </row>
    <row r="44" spans="1:11" ht="18.75" customHeight="1">
      <c r="A44" s="227" t="s">
        <v>63</v>
      </c>
      <c r="B44" s="227"/>
      <c r="C44" s="227"/>
      <c r="D44" s="212" t="s">
        <v>442</v>
      </c>
      <c r="E44" s="212"/>
      <c r="F44" s="212"/>
      <c r="G44" s="212"/>
      <c r="H44" s="212"/>
      <c r="I44" s="212"/>
      <c r="J44" s="212"/>
      <c r="K44" s="78"/>
    </row>
    <row r="45" spans="1:11" ht="46.5" customHeight="1">
      <c r="A45" s="227" t="s">
        <v>64</v>
      </c>
      <c r="B45" s="227"/>
      <c r="C45" s="227"/>
      <c r="D45" s="212" t="s">
        <v>356</v>
      </c>
      <c r="E45" s="212"/>
      <c r="F45" s="212"/>
      <c r="G45" s="212"/>
      <c r="H45" s="212"/>
      <c r="I45" s="212"/>
      <c r="J45" s="212"/>
      <c r="K45" s="78"/>
    </row>
    <row r="46" spans="1:10" ht="15">
      <c r="A46" s="13">
        <v>1</v>
      </c>
      <c r="B46" s="13" t="s">
        <v>355</v>
      </c>
      <c r="C46" s="13"/>
      <c r="D46" s="31"/>
      <c r="E46" s="31"/>
      <c r="F46" s="31"/>
      <c r="G46" s="31"/>
      <c r="H46" s="31"/>
      <c r="I46" s="31"/>
      <c r="J46" s="31">
        <v>3611565.66</v>
      </c>
    </row>
    <row r="47" spans="1:10" ht="15">
      <c r="A47" s="13">
        <v>2</v>
      </c>
      <c r="B47" s="13"/>
      <c r="C47" s="13"/>
      <c r="D47" s="31"/>
      <c r="E47" s="31"/>
      <c r="F47" s="31"/>
      <c r="G47" s="31"/>
      <c r="H47" s="31"/>
      <c r="I47" s="31"/>
      <c r="J47" s="31"/>
    </row>
    <row r="48" spans="1:10" ht="18.75">
      <c r="A48" s="228" t="s">
        <v>223</v>
      </c>
      <c r="B48" s="228"/>
      <c r="C48" s="22" t="s">
        <v>77</v>
      </c>
      <c r="D48" s="39"/>
      <c r="E48" s="22" t="s">
        <v>77</v>
      </c>
      <c r="F48" s="22" t="s">
        <v>77</v>
      </c>
      <c r="G48" s="22" t="s">
        <v>77</v>
      </c>
      <c r="H48" s="22" t="s">
        <v>77</v>
      </c>
      <c r="I48" s="22" t="s">
        <v>77</v>
      </c>
      <c r="J48" s="39">
        <f>J46</f>
        <v>3611565.66</v>
      </c>
    </row>
    <row r="49" ht="15.75">
      <c r="A49" s="7" t="s">
        <v>120</v>
      </c>
    </row>
    <row r="50" spans="1:10" ht="15.75">
      <c r="A50" s="227" t="s">
        <v>63</v>
      </c>
      <c r="B50" s="227"/>
      <c r="C50" s="227"/>
      <c r="D50" s="212" t="s">
        <v>443</v>
      </c>
      <c r="E50" s="212"/>
      <c r="F50" s="212"/>
      <c r="G50" s="212"/>
      <c r="H50" s="212"/>
      <c r="I50" s="212"/>
      <c r="J50" s="212"/>
    </row>
    <row r="51" spans="1:10" ht="15.75">
      <c r="A51" s="227" t="s">
        <v>64</v>
      </c>
      <c r="B51" s="227"/>
      <c r="C51" s="227"/>
      <c r="D51" s="212" t="s">
        <v>357</v>
      </c>
      <c r="E51" s="212"/>
      <c r="F51" s="212"/>
      <c r="G51" s="212"/>
      <c r="H51" s="212"/>
      <c r="I51" s="212"/>
      <c r="J51" s="212"/>
    </row>
    <row r="52" spans="1:10" ht="15">
      <c r="A52" s="13">
        <v>1</v>
      </c>
      <c r="B52" s="13" t="s">
        <v>355</v>
      </c>
      <c r="C52" s="13"/>
      <c r="D52" s="31"/>
      <c r="E52" s="31"/>
      <c r="F52" s="31"/>
      <c r="G52" s="31"/>
      <c r="H52" s="31"/>
      <c r="I52" s="31"/>
      <c r="J52" s="31">
        <v>178027.8</v>
      </c>
    </row>
    <row r="53" spans="1:10" ht="15">
      <c r="A53" s="13">
        <v>2</v>
      </c>
      <c r="B53" s="13"/>
      <c r="C53" s="13"/>
      <c r="D53" s="31"/>
      <c r="E53" s="31"/>
      <c r="F53" s="31"/>
      <c r="G53" s="31"/>
      <c r="H53" s="31"/>
      <c r="I53" s="31"/>
      <c r="J53" s="31"/>
    </row>
    <row r="54" spans="1:10" ht="18.75">
      <c r="A54" s="228" t="s">
        <v>223</v>
      </c>
      <c r="B54" s="228"/>
      <c r="C54" s="22" t="s">
        <v>77</v>
      </c>
      <c r="D54" s="39"/>
      <c r="E54" s="22" t="s">
        <v>77</v>
      </c>
      <c r="F54" s="22" t="s">
        <v>77</v>
      </c>
      <c r="G54" s="22" t="s">
        <v>77</v>
      </c>
      <c r="H54" s="22" t="s">
        <v>77</v>
      </c>
      <c r="I54" s="22" t="s">
        <v>77</v>
      </c>
      <c r="J54" s="39">
        <f>J52</f>
        <v>178027.8</v>
      </c>
    </row>
    <row r="55" ht="15.75">
      <c r="A55" s="7" t="s">
        <v>120</v>
      </c>
    </row>
    <row r="56" spans="1:10" ht="15.75">
      <c r="A56" s="227" t="s">
        <v>63</v>
      </c>
      <c r="B56" s="227"/>
      <c r="C56" s="227"/>
      <c r="D56" s="212" t="s">
        <v>368</v>
      </c>
      <c r="E56" s="212"/>
      <c r="F56" s="212"/>
      <c r="G56" s="212"/>
      <c r="H56" s="212"/>
      <c r="I56" s="212"/>
      <c r="J56" s="212"/>
    </row>
    <row r="57" spans="1:10" ht="15.75">
      <c r="A57" s="227" t="s">
        <v>64</v>
      </c>
      <c r="B57" s="227"/>
      <c r="C57" s="227"/>
      <c r="D57" s="212" t="s">
        <v>359</v>
      </c>
      <c r="E57" s="212"/>
      <c r="F57" s="212"/>
      <c r="G57" s="212"/>
      <c r="H57" s="212"/>
      <c r="I57" s="212"/>
      <c r="J57" s="212"/>
    </row>
    <row r="58" spans="1:10" ht="15">
      <c r="A58" s="13">
        <v>1</v>
      </c>
      <c r="B58" s="13" t="s">
        <v>359</v>
      </c>
      <c r="C58" s="13"/>
      <c r="D58" s="31"/>
      <c r="E58" s="31"/>
      <c r="F58" s="31"/>
      <c r="G58" s="31"/>
      <c r="H58" s="31"/>
      <c r="I58" s="31"/>
      <c r="J58" s="31">
        <v>11550.51</v>
      </c>
    </row>
    <row r="59" spans="1:10" ht="15">
      <c r="A59" s="13">
        <v>2</v>
      </c>
      <c r="B59" s="13"/>
      <c r="C59" s="13"/>
      <c r="D59" s="31"/>
      <c r="E59" s="31"/>
      <c r="F59" s="31"/>
      <c r="G59" s="31"/>
      <c r="H59" s="31"/>
      <c r="I59" s="31"/>
      <c r="J59" s="31"/>
    </row>
    <row r="60" spans="1:10" ht="18.75">
      <c r="A60" s="228" t="s">
        <v>223</v>
      </c>
      <c r="B60" s="228"/>
      <c r="C60" s="22" t="s">
        <v>77</v>
      </c>
      <c r="D60" s="39"/>
      <c r="E60" s="22" t="s">
        <v>77</v>
      </c>
      <c r="F60" s="22" t="s">
        <v>77</v>
      </c>
      <c r="G60" s="22" t="s">
        <v>77</v>
      </c>
      <c r="H60" s="22" t="s">
        <v>77</v>
      </c>
      <c r="I60" s="22" t="s">
        <v>77</v>
      </c>
      <c r="J60" s="39">
        <f>J58</f>
        <v>11550.51</v>
      </c>
    </row>
  </sheetData>
  <sheetProtection/>
  <mergeCells count="31">
    <mergeCell ref="A28:B28"/>
    <mergeCell ref="A42:B42"/>
    <mergeCell ref="D5:J5"/>
    <mergeCell ref="D6:J6"/>
    <mergeCell ref="J8:J10"/>
    <mergeCell ref="D9:D10"/>
    <mergeCell ref="E9:G9"/>
    <mergeCell ref="H8:H10"/>
    <mergeCell ref="I8:I10"/>
    <mergeCell ref="A2:J2"/>
    <mergeCell ref="A8:A10"/>
    <mergeCell ref="B8:B10"/>
    <mergeCell ref="C8:C10"/>
    <mergeCell ref="D8:G8"/>
    <mergeCell ref="A5:C5"/>
    <mergeCell ref="A6:C6"/>
    <mergeCell ref="A48:B48"/>
    <mergeCell ref="A44:C44"/>
    <mergeCell ref="D44:J44"/>
    <mergeCell ref="A45:C45"/>
    <mergeCell ref="D45:J45"/>
    <mergeCell ref="A50:C50"/>
    <mergeCell ref="D50:J50"/>
    <mergeCell ref="A56:C56"/>
    <mergeCell ref="D56:J56"/>
    <mergeCell ref="A57:C57"/>
    <mergeCell ref="D57:J57"/>
    <mergeCell ref="A60:B60"/>
    <mergeCell ref="A51:C51"/>
    <mergeCell ref="D51:J51"/>
    <mergeCell ref="A54:B54"/>
  </mergeCells>
  <printOptions/>
  <pageMargins left="0.7086614173228347" right="0.1968503937007874" top="0.35433070866141736" bottom="0.2755905511811024" header="0.31496062992125984" footer="0.31496062992125984"/>
  <pageSetup fitToHeight="3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6">
      <selection activeCell="J36" sqref="J36"/>
    </sheetView>
  </sheetViews>
  <sheetFormatPr defaultColWidth="9.140625" defaultRowHeight="15"/>
  <cols>
    <col min="1" max="1" width="5.57421875" style="15" customWidth="1"/>
    <col min="2" max="2" width="17.8515625" style="15" customWidth="1"/>
    <col min="3" max="3" width="9.140625" style="15" customWidth="1"/>
    <col min="4" max="4" width="13.00390625" style="15" customWidth="1"/>
    <col min="5" max="5" width="14.57421875" style="15" customWidth="1"/>
    <col min="6" max="6" width="15.00390625" style="15" customWidth="1"/>
    <col min="7" max="7" width="14.7109375" style="15" customWidth="1"/>
    <col min="8" max="8" width="9.8515625" style="15" customWidth="1"/>
    <col min="9" max="9" width="8.421875" style="15" customWidth="1"/>
    <col min="10" max="10" width="12.00390625" style="15" customWidth="1"/>
    <col min="11" max="11" width="12.7109375" style="15" bestFit="1" customWidth="1"/>
    <col min="12" max="16384" width="9.140625" style="15" customWidth="1"/>
  </cols>
  <sheetData>
    <row r="1" ht="15.75">
      <c r="A1" s="5"/>
    </row>
    <row r="2" spans="1:10" ht="45.75" customHeight="1">
      <c r="A2" s="208" t="s">
        <v>330</v>
      </c>
      <c r="B2" s="208"/>
      <c r="C2" s="208"/>
      <c r="D2" s="208"/>
      <c r="E2" s="208"/>
      <c r="F2" s="208"/>
      <c r="G2" s="208"/>
      <c r="H2" s="208"/>
      <c r="I2" s="208"/>
      <c r="J2" s="208"/>
    </row>
    <row r="3" ht="15.75">
      <c r="A3" s="123"/>
    </row>
    <row r="4" ht="15.75">
      <c r="A4" s="7" t="s">
        <v>120</v>
      </c>
    </row>
    <row r="5" spans="1:10" ht="41.25" customHeight="1">
      <c r="A5" s="227" t="s">
        <v>63</v>
      </c>
      <c r="B5" s="227"/>
      <c r="C5" s="227"/>
      <c r="D5" s="226" t="s">
        <v>508</v>
      </c>
      <c r="E5" s="226"/>
      <c r="F5" s="226"/>
      <c r="G5" s="226"/>
      <c r="H5" s="226"/>
      <c r="I5" s="226"/>
      <c r="J5" s="226"/>
    </row>
    <row r="6" spans="1:10" ht="38.25" customHeight="1">
      <c r="A6" s="227" t="s">
        <v>64</v>
      </c>
      <c r="B6" s="227"/>
      <c r="C6" s="227"/>
      <c r="D6" s="212" t="s">
        <v>275</v>
      </c>
      <c r="E6" s="212"/>
      <c r="F6" s="212"/>
      <c r="G6" s="212"/>
      <c r="H6" s="212"/>
      <c r="I6" s="212"/>
      <c r="J6" s="212"/>
    </row>
    <row r="7" ht="15.75">
      <c r="A7" s="2" t="s">
        <v>65</v>
      </c>
    </row>
    <row r="8" spans="1:10" ht="31.5" customHeight="1">
      <c r="A8" s="212" t="s">
        <v>66</v>
      </c>
      <c r="B8" s="212" t="s">
        <v>67</v>
      </c>
      <c r="C8" s="212" t="s">
        <v>68</v>
      </c>
      <c r="D8" s="212" t="s">
        <v>69</v>
      </c>
      <c r="E8" s="212"/>
      <c r="F8" s="212"/>
      <c r="G8" s="212"/>
      <c r="H8" s="212" t="s">
        <v>70</v>
      </c>
      <c r="I8" s="212" t="s">
        <v>71</v>
      </c>
      <c r="J8" s="212" t="s">
        <v>72</v>
      </c>
    </row>
    <row r="9" spans="1:10" ht="15.75">
      <c r="A9" s="212"/>
      <c r="B9" s="212"/>
      <c r="C9" s="212"/>
      <c r="D9" s="212" t="s">
        <v>5</v>
      </c>
      <c r="E9" s="212" t="s">
        <v>6</v>
      </c>
      <c r="F9" s="212"/>
      <c r="G9" s="212"/>
      <c r="H9" s="212"/>
      <c r="I9" s="212"/>
      <c r="J9" s="212"/>
    </row>
    <row r="10" spans="1:10" ht="96.75" customHeight="1">
      <c r="A10" s="212"/>
      <c r="B10" s="212"/>
      <c r="C10" s="212"/>
      <c r="D10" s="212"/>
      <c r="E10" s="124" t="s">
        <v>73</v>
      </c>
      <c r="F10" s="124" t="s">
        <v>74</v>
      </c>
      <c r="G10" s="124" t="s">
        <v>75</v>
      </c>
      <c r="H10" s="212"/>
      <c r="I10" s="212"/>
      <c r="J10" s="212"/>
    </row>
    <row r="11" spans="1:10" s="41" customFormat="1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1" ht="15">
      <c r="A12" s="13">
        <v>1</v>
      </c>
      <c r="B12" s="13" t="s">
        <v>281</v>
      </c>
      <c r="C12" s="13">
        <v>1</v>
      </c>
      <c r="D12" s="31">
        <f>E12+F12+G12</f>
        <v>28884</v>
      </c>
      <c r="E12" s="31">
        <v>9378</v>
      </c>
      <c r="F12" s="31">
        <v>19506</v>
      </c>
      <c r="G12" s="31"/>
      <c r="H12" s="31">
        <f>D12*80%</f>
        <v>23107.2</v>
      </c>
      <c r="I12" s="31">
        <f>D12*70%</f>
        <v>20218.8</v>
      </c>
      <c r="J12" s="31">
        <f aca="true" t="shared" si="0" ref="J12:J17">(D12+H12+I12)*C12*12</f>
        <v>866520</v>
      </c>
      <c r="K12" s="75"/>
    </row>
    <row r="13" spans="1:11" ht="15">
      <c r="A13" s="13">
        <v>2</v>
      </c>
      <c r="B13" s="13" t="s">
        <v>282</v>
      </c>
      <c r="C13" s="13">
        <v>2</v>
      </c>
      <c r="D13" s="31">
        <f>E13+F13+G13</f>
        <v>12684.78</v>
      </c>
      <c r="E13" s="31">
        <v>3709</v>
      </c>
      <c r="F13" s="31">
        <f>E13*12%</f>
        <v>445.08</v>
      </c>
      <c r="G13" s="31">
        <v>8530.7</v>
      </c>
      <c r="H13" s="31">
        <f>D13*80%</f>
        <v>10147.824</v>
      </c>
      <c r="I13" s="31">
        <f>D13*70%</f>
        <v>8879.346</v>
      </c>
      <c r="J13" s="31">
        <f t="shared" si="0"/>
        <v>761086.7999999999</v>
      </c>
      <c r="K13" s="75"/>
    </row>
    <row r="14" spans="1:11" ht="25.5">
      <c r="A14" s="13">
        <v>2</v>
      </c>
      <c r="B14" s="13" t="s">
        <v>507</v>
      </c>
      <c r="C14" s="13">
        <v>1</v>
      </c>
      <c r="D14" s="31">
        <v>12684.78</v>
      </c>
      <c r="E14" s="31">
        <v>3709</v>
      </c>
      <c r="F14" s="31">
        <v>445.08</v>
      </c>
      <c r="G14" s="31">
        <v>8530.7</v>
      </c>
      <c r="H14" s="31">
        <v>10147.824</v>
      </c>
      <c r="I14" s="31">
        <v>8879.346</v>
      </c>
      <c r="J14" s="31">
        <f t="shared" si="0"/>
        <v>380543.39999999997</v>
      </c>
      <c r="K14" s="75"/>
    </row>
    <row r="15" spans="1:11" ht="15">
      <c r="A15" s="13">
        <v>3</v>
      </c>
      <c r="B15" s="13" t="s">
        <v>284</v>
      </c>
      <c r="C15" s="13">
        <v>4</v>
      </c>
      <c r="D15" s="31">
        <f>E15+F15+G15</f>
        <v>23891.45</v>
      </c>
      <c r="E15" s="31">
        <v>2302</v>
      </c>
      <c r="F15" s="31">
        <v>1615.2</v>
      </c>
      <c r="G15" s="31">
        <v>19974.25</v>
      </c>
      <c r="H15" s="31">
        <v>3038.64</v>
      </c>
      <c r="I15" s="31">
        <v>2658.81</v>
      </c>
      <c r="J15" s="31">
        <f t="shared" si="0"/>
        <v>1420267.2000000002</v>
      </c>
      <c r="K15" s="76"/>
    </row>
    <row r="16" spans="1:11" ht="25.5">
      <c r="A16" s="13">
        <v>4</v>
      </c>
      <c r="B16" s="13" t="s">
        <v>386</v>
      </c>
      <c r="C16" s="13">
        <v>1</v>
      </c>
      <c r="D16" s="31">
        <f>E16+F16+G16</f>
        <v>22911.1</v>
      </c>
      <c r="E16" s="31">
        <v>2302</v>
      </c>
      <c r="F16" s="31">
        <v>690.6</v>
      </c>
      <c r="G16" s="31">
        <v>19918.5</v>
      </c>
      <c r="H16" s="31">
        <v>2394.08</v>
      </c>
      <c r="I16" s="31">
        <v>2094.82</v>
      </c>
      <c r="J16" s="31">
        <f t="shared" si="0"/>
        <v>328800</v>
      </c>
      <c r="K16" s="76"/>
    </row>
    <row r="17" spans="1:11" ht="15">
      <c r="A17" s="13">
        <v>5</v>
      </c>
      <c r="B17" s="13"/>
      <c r="C17" s="13"/>
      <c r="D17" s="31">
        <f>E17+F17+G17</f>
        <v>0</v>
      </c>
      <c r="E17" s="31"/>
      <c r="F17" s="31"/>
      <c r="G17" s="31"/>
      <c r="H17" s="31">
        <f>D17*80%</f>
        <v>0</v>
      </c>
      <c r="I17" s="31">
        <f>D17*70%</f>
        <v>0</v>
      </c>
      <c r="J17" s="31">
        <f t="shared" si="0"/>
        <v>0</v>
      </c>
      <c r="K17" s="75"/>
    </row>
    <row r="18" spans="1:11" ht="18.75">
      <c r="A18" s="228" t="s">
        <v>286</v>
      </c>
      <c r="B18" s="228"/>
      <c r="C18" s="22" t="s">
        <v>77</v>
      </c>
      <c r="D18" s="39">
        <f>SUM(D12:D17)</f>
        <v>101056.10999999999</v>
      </c>
      <c r="E18" s="22" t="s">
        <v>77</v>
      </c>
      <c r="F18" s="22" t="s">
        <v>77</v>
      </c>
      <c r="G18" s="22" t="s">
        <v>77</v>
      </c>
      <c r="H18" s="22" t="s">
        <v>77</v>
      </c>
      <c r="I18" s="22" t="s">
        <v>77</v>
      </c>
      <c r="J18" s="175">
        <v>3382469.36</v>
      </c>
      <c r="K18" s="78"/>
    </row>
    <row r="19" spans="1:11" ht="15" customHeight="1" hidden="1">
      <c r="A19" s="13"/>
      <c r="B19" s="13" t="s">
        <v>258</v>
      </c>
      <c r="C19" s="13">
        <v>1</v>
      </c>
      <c r="D19" s="31">
        <f>E19+F19+G19</f>
        <v>33333.33</v>
      </c>
      <c r="E19" s="31"/>
      <c r="F19" s="31"/>
      <c r="G19" s="31">
        <v>33333.33</v>
      </c>
      <c r="H19" s="31"/>
      <c r="I19" s="31"/>
      <c r="J19" s="31">
        <f aca="true" t="shared" si="1" ref="J19:J31">(D19+H19+I19)*C19*12</f>
        <v>399999.96</v>
      </c>
      <c r="K19" s="78"/>
    </row>
    <row r="20" spans="1:11" ht="25.5" customHeight="1" hidden="1">
      <c r="A20" s="13"/>
      <c r="B20" s="13" t="s">
        <v>259</v>
      </c>
      <c r="C20" s="13">
        <v>1</v>
      </c>
      <c r="D20" s="31">
        <f aca="true" t="shared" si="2" ref="D20:D31">E20+F20+G20</f>
        <v>29108.32</v>
      </c>
      <c r="E20" s="31"/>
      <c r="F20" s="31"/>
      <c r="G20" s="31">
        <v>29108.32</v>
      </c>
      <c r="H20" s="31"/>
      <c r="I20" s="31"/>
      <c r="J20" s="31">
        <f t="shared" si="1"/>
        <v>349299.83999999997</v>
      </c>
      <c r="K20" s="78"/>
    </row>
    <row r="21" spans="1:11" ht="25.5" customHeight="1" hidden="1">
      <c r="A21" s="13"/>
      <c r="B21" s="13" t="s">
        <v>260</v>
      </c>
      <c r="C21" s="13">
        <v>0.75</v>
      </c>
      <c r="D21" s="31">
        <f t="shared" si="2"/>
        <v>29108.32</v>
      </c>
      <c r="E21" s="31"/>
      <c r="F21" s="31"/>
      <c r="G21" s="31">
        <v>29108.32</v>
      </c>
      <c r="H21" s="31"/>
      <c r="I21" s="31"/>
      <c r="J21" s="31">
        <f t="shared" si="1"/>
        <v>261974.87999999998</v>
      </c>
      <c r="K21" s="78"/>
    </row>
    <row r="22" spans="1:11" ht="25.5" customHeight="1" hidden="1">
      <c r="A22" s="13"/>
      <c r="B22" s="13" t="s">
        <v>261</v>
      </c>
      <c r="C22" s="13">
        <v>0.5</v>
      </c>
      <c r="D22" s="31">
        <f t="shared" si="2"/>
        <v>29108.32</v>
      </c>
      <c r="E22" s="31"/>
      <c r="F22" s="31"/>
      <c r="G22" s="31">
        <v>29108.32</v>
      </c>
      <c r="H22" s="31"/>
      <c r="I22" s="31"/>
      <c r="J22" s="31">
        <f t="shared" si="1"/>
        <v>174649.91999999998</v>
      </c>
      <c r="K22" s="78"/>
    </row>
    <row r="23" spans="1:11" ht="25.5" customHeight="1" hidden="1">
      <c r="A23" s="13"/>
      <c r="B23" s="13" t="s">
        <v>262</v>
      </c>
      <c r="C23" s="13">
        <v>1</v>
      </c>
      <c r="D23" s="31">
        <f t="shared" si="2"/>
        <v>10129.06</v>
      </c>
      <c r="E23" s="31"/>
      <c r="F23" s="31"/>
      <c r="G23" s="31">
        <v>10129.06</v>
      </c>
      <c r="H23" s="31"/>
      <c r="I23" s="31"/>
      <c r="J23" s="31">
        <f t="shared" si="1"/>
        <v>121548.72</v>
      </c>
      <c r="K23" s="78"/>
    </row>
    <row r="24" spans="1:11" ht="15" customHeight="1" hidden="1">
      <c r="A24" s="13"/>
      <c r="B24" s="13" t="s">
        <v>263</v>
      </c>
      <c r="C24" s="13">
        <v>1</v>
      </c>
      <c r="D24" s="31">
        <f t="shared" si="2"/>
        <v>10129.06</v>
      </c>
      <c r="E24" s="31"/>
      <c r="F24" s="31"/>
      <c r="G24" s="31">
        <v>10129.06</v>
      </c>
      <c r="H24" s="31"/>
      <c r="I24" s="31"/>
      <c r="J24" s="31">
        <f t="shared" si="1"/>
        <v>121548.72</v>
      </c>
      <c r="K24" s="78"/>
    </row>
    <row r="25" spans="1:11" ht="15" customHeight="1" hidden="1">
      <c r="A25" s="13"/>
      <c r="B25" s="13" t="s">
        <v>264</v>
      </c>
      <c r="C25" s="13">
        <v>0.5</v>
      </c>
      <c r="D25" s="31">
        <f t="shared" si="2"/>
        <v>10129.06</v>
      </c>
      <c r="E25" s="31"/>
      <c r="F25" s="31"/>
      <c r="G25" s="31">
        <v>10129.06</v>
      </c>
      <c r="H25" s="31"/>
      <c r="I25" s="31"/>
      <c r="J25" s="31">
        <f t="shared" si="1"/>
        <v>60774.36</v>
      </c>
      <c r="K25" s="78"/>
    </row>
    <row r="26" spans="1:11" ht="25.5" customHeight="1" hidden="1">
      <c r="A26" s="13"/>
      <c r="B26" s="13" t="s">
        <v>265</v>
      </c>
      <c r="C26" s="13">
        <v>1</v>
      </c>
      <c r="D26" s="31">
        <f t="shared" si="2"/>
        <v>10129.06</v>
      </c>
      <c r="E26" s="31"/>
      <c r="F26" s="31"/>
      <c r="G26" s="31">
        <v>10129.06</v>
      </c>
      <c r="H26" s="31"/>
      <c r="I26" s="31"/>
      <c r="J26" s="31">
        <f t="shared" si="1"/>
        <v>121548.72</v>
      </c>
      <c r="K26" s="78"/>
    </row>
    <row r="27" spans="1:11" ht="15" customHeight="1" hidden="1">
      <c r="A27" s="13"/>
      <c r="B27" s="13" t="s">
        <v>266</v>
      </c>
      <c r="C27" s="13">
        <v>3</v>
      </c>
      <c r="D27" s="31">
        <f t="shared" si="2"/>
        <v>10129.06</v>
      </c>
      <c r="E27" s="31"/>
      <c r="F27" s="31"/>
      <c r="G27" s="31">
        <v>10129.06</v>
      </c>
      <c r="H27" s="31"/>
      <c r="I27" s="31"/>
      <c r="J27" s="31">
        <f t="shared" si="1"/>
        <v>364646.16000000003</v>
      </c>
      <c r="K27" s="78"/>
    </row>
    <row r="28" spans="1:11" ht="15" customHeight="1" hidden="1">
      <c r="A28" s="13"/>
      <c r="B28" s="13" t="s">
        <v>267</v>
      </c>
      <c r="C28" s="13">
        <v>34</v>
      </c>
      <c r="D28" s="31">
        <f t="shared" si="2"/>
        <v>10129.06</v>
      </c>
      <c r="E28" s="31"/>
      <c r="F28" s="31"/>
      <c r="G28" s="31">
        <f>10129.06</f>
        <v>10129.06</v>
      </c>
      <c r="H28" s="31"/>
      <c r="I28" s="31"/>
      <c r="J28" s="31">
        <f>(D28+H28+I28)*C28*12</f>
        <v>4132656.4799999995</v>
      </c>
      <c r="K28" s="78"/>
    </row>
    <row r="29" spans="1:11" ht="15" customHeight="1" hidden="1">
      <c r="A29" s="13"/>
      <c r="B29" s="13" t="s">
        <v>268</v>
      </c>
      <c r="C29" s="13">
        <v>1</v>
      </c>
      <c r="D29" s="31">
        <f t="shared" si="2"/>
        <v>11081.86</v>
      </c>
      <c r="E29" s="31"/>
      <c r="F29" s="31"/>
      <c r="G29" s="31">
        <v>11081.86</v>
      </c>
      <c r="H29" s="31"/>
      <c r="I29" s="31"/>
      <c r="J29" s="31">
        <f t="shared" si="1"/>
        <v>132982.32</v>
      </c>
      <c r="K29" s="78"/>
    </row>
    <row r="30" spans="1:11" ht="15" customHeight="1" hidden="1">
      <c r="A30" s="13"/>
      <c r="B30" s="13" t="s">
        <v>269</v>
      </c>
      <c r="C30" s="13">
        <v>1</v>
      </c>
      <c r="D30" s="31">
        <f t="shared" si="2"/>
        <v>11081.86</v>
      </c>
      <c r="E30" s="31"/>
      <c r="F30" s="31"/>
      <c r="G30" s="31">
        <v>11081.86</v>
      </c>
      <c r="H30" s="31"/>
      <c r="I30" s="31"/>
      <c r="J30" s="31">
        <f t="shared" si="1"/>
        <v>132982.32</v>
      </c>
      <c r="K30" s="78"/>
    </row>
    <row r="31" spans="1:11" ht="25.5" customHeight="1" hidden="1">
      <c r="A31" s="13"/>
      <c r="B31" s="13" t="s">
        <v>270</v>
      </c>
      <c r="C31" s="13">
        <v>1</v>
      </c>
      <c r="D31" s="31">
        <f t="shared" si="2"/>
        <v>11081.86</v>
      </c>
      <c r="E31" s="31"/>
      <c r="F31" s="31"/>
      <c r="G31" s="31">
        <v>11081.86</v>
      </c>
      <c r="H31" s="31"/>
      <c r="I31" s="31"/>
      <c r="J31" s="31">
        <f t="shared" si="1"/>
        <v>132982.32</v>
      </c>
      <c r="K31" s="78"/>
    </row>
    <row r="32" spans="1:11" ht="18.75" customHeight="1" hidden="1">
      <c r="A32" s="228" t="s">
        <v>227</v>
      </c>
      <c r="B32" s="228"/>
      <c r="C32" s="22" t="s">
        <v>77</v>
      </c>
      <c r="D32" s="38"/>
      <c r="E32" s="22" t="s">
        <v>77</v>
      </c>
      <c r="F32" s="22" t="s">
        <v>77</v>
      </c>
      <c r="G32" s="22" t="s">
        <v>77</v>
      </c>
      <c r="H32" s="22" t="s">
        <v>77</v>
      </c>
      <c r="I32" s="22" t="s">
        <v>77</v>
      </c>
      <c r="J32" s="39">
        <f>SUM(J19:J31)</f>
        <v>6507594.720000001</v>
      </c>
      <c r="K32" s="78" t="s">
        <v>273</v>
      </c>
    </row>
    <row r="33" spans="1:11" ht="18.75" customHeight="1">
      <c r="A33" s="202"/>
      <c r="B33" s="202"/>
      <c r="C33" s="22"/>
      <c r="D33" s="38"/>
      <c r="E33" s="22"/>
      <c r="F33" s="22"/>
      <c r="G33" s="22"/>
      <c r="H33" s="22"/>
      <c r="I33" s="22"/>
      <c r="J33" s="39">
        <v>984204.13</v>
      </c>
      <c r="K33" s="78"/>
    </row>
    <row r="34" spans="1:10" ht="15">
      <c r="A34" s="13">
        <v>1</v>
      </c>
      <c r="B34" s="13" t="s">
        <v>350</v>
      </c>
      <c r="C34" s="13"/>
      <c r="D34" s="31">
        <f>E34+F34+G34</f>
        <v>0</v>
      </c>
      <c r="E34" s="31"/>
      <c r="F34" s="31"/>
      <c r="G34" s="31"/>
      <c r="H34" s="31">
        <f>D34*80%</f>
        <v>0</v>
      </c>
      <c r="I34" s="31">
        <f>D34*70%</f>
        <v>0</v>
      </c>
      <c r="J34" s="31">
        <v>242601.39</v>
      </c>
    </row>
    <row r="35" spans="1:10" ht="15">
      <c r="A35" s="13">
        <v>2</v>
      </c>
      <c r="B35" s="13"/>
      <c r="C35" s="13"/>
      <c r="D35" s="31">
        <f>E35+F35+G35</f>
        <v>0</v>
      </c>
      <c r="E35" s="31"/>
      <c r="F35" s="31"/>
      <c r="G35" s="31"/>
      <c r="H35" s="31">
        <f>D35*80%</f>
        <v>0</v>
      </c>
      <c r="I35" s="31">
        <f>D35*70%</f>
        <v>0</v>
      </c>
      <c r="J35" s="31">
        <f>(D35+H35+I35)*C35*12</f>
        <v>0</v>
      </c>
    </row>
    <row r="36" spans="1:11" ht="18.75">
      <c r="A36" s="228" t="s">
        <v>286</v>
      </c>
      <c r="B36" s="228"/>
      <c r="C36" s="22" t="s">
        <v>77</v>
      </c>
      <c r="D36" s="39">
        <f>SUM(D27:D35)</f>
        <v>53503.7</v>
      </c>
      <c r="E36" s="22" t="s">
        <v>77</v>
      </c>
      <c r="F36" s="22" t="s">
        <v>77</v>
      </c>
      <c r="G36" s="22" t="s">
        <v>77</v>
      </c>
      <c r="H36" s="22" t="s">
        <v>77</v>
      </c>
      <c r="I36" s="22" t="s">
        <v>77</v>
      </c>
      <c r="J36" s="39">
        <f>J34+115220.72</f>
        <v>357822.11</v>
      </c>
      <c r="K36" s="15">
        <v>3771744.54</v>
      </c>
    </row>
    <row r="37" ht="15.75">
      <c r="A37" s="7" t="s">
        <v>120</v>
      </c>
    </row>
    <row r="38" spans="1:10" ht="15.75">
      <c r="A38" s="227" t="s">
        <v>63</v>
      </c>
      <c r="B38" s="227"/>
      <c r="C38" s="227"/>
      <c r="D38" s="212" t="s">
        <v>390</v>
      </c>
      <c r="E38" s="212"/>
      <c r="F38" s="212"/>
      <c r="G38" s="212"/>
      <c r="H38" s="212"/>
      <c r="I38" s="212"/>
      <c r="J38" s="212"/>
    </row>
    <row r="39" spans="1:10" ht="15.75">
      <c r="A39" s="227" t="s">
        <v>64</v>
      </c>
      <c r="B39" s="227"/>
      <c r="C39" s="227"/>
      <c r="D39" s="212" t="s">
        <v>391</v>
      </c>
      <c r="E39" s="212"/>
      <c r="F39" s="212"/>
      <c r="G39" s="212"/>
      <c r="H39" s="212"/>
      <c r="I39" s="212"/>
      <c r="J39" s="212"/>
    </row>
    <row r="40" spans="1:10" ht="15">
      <c r="A40" s="13">
        <v>1</v>
      </c>
      <c r="B40" s="13" t="s">
        <v>389</v>
      </c>
      <c r="C40" s="13"/>
      <c r="D40" s="31"/>
      <c r="E40" s="31"/>
      <c r="F40" s="31"/>
      <c r="G40" s="31"/>
      <c r="H40" s="31"/>
      <c r="I40" s="31"/>
      <c r="J40" s="31"/>
    </row>
    <row r="41" spans="1:10" ht="15">
      <c r="A41" s="13">
        <v>2</v>
      </c>
      <c r="B41" s="13"/>
      <c r="C41" s="13"/>
      <c r="D41" s="31"/>
      <c r="E41" s="31"/>
      <c r="F41" s="31"/>
      <c r="G41" s="31"/>
      <c r="H41" s="31"/>
      <c r="I41" s="31"/>
      <c r="J41" s="31"/>
    </row>
    <row r="42" spans="1:10" ht="18.75">
      <c r="A42" s="228" t="s">
        <v>223</v>
      </c>
      <c r="B42" s="228"/>
      <c r="C42" s="22" t="s">
        <v>77</v>
      </c>
      <c r="D42" s="39"/>
      <c r="E42" s="22" t="s">
        <v>77</v>
      </c>
      <c r="F42" s="22" t="s">
        <v>77</v>
      </c>
      <c r="G42" s="22" t="s">
        <v>77</v>
      </c>
      <c r="H42" s="22" t="s">
        <v>77</v>
      </c>
      <c r="I42" s="22" t="s">
        <v>77</v>
      </c>
      <c r="J42" s="39">
        <f>J40</f>
        <v>0</v>
      </c>
    </row>
    <row r="43" ht="15.75">
      <c r="A43" s="7" t="s">
        <v>120</v>
      </c>
    </row>
    <row r="44" spans="1:10" ht="15.75">
      <c r="A44" s="227" t="s">
        <v>63</v>
      </c>
      <c r="B44" s="227"/>
      <c r="C44" s="227"/>
      <c r="D44" s="212" t="s">
        <v>370</v>
      </c>
      <c r="E44" s="212"/>
      <c r="F44" s="212"/>
      <c r="G44" s="212"/>
      <c r="H44" s="212"/>
      <c r="I44" s="212"/>
      <c r="J44" s="212"/>
    </row>
    <row r="45" spans="1:10" ht="15.75">
      <c r="A45" s="227" t="s">
        <v>64</v>
      </c>
      <c r="B45" s="227"/>
      <c r="C45" s="227"/>
      <c r="D45" s="212" t="s">
        <v>359</v>
      </c>
      <c r="E45" s="212"/>
      <c r="F45" s="212"/>
      <c r="G45" s="212"/>
      <c r="H45" s="212"/>
      <c r="I45" s="212"/>
      <c r="J45" s="212"/>
    </row>
    <row r="46" spans="1:10" ht="15">
      <c r="A46" s="13">
        <v>1</v>
      </c>
      <c r="B46" s="13" t="s">
        <v>359</v>
      </c>
      <c r="C46" s="13"/>
      <c r="D46" s="31"/>
      <c r="E46" s="31"/>
      <c r="F46" s="31"/>
      <c r="G46" s="31"/>
      <c r="H46" s="31"/>
      <c r="I46" s="31"/>
      <c r="J46" s="31">
        <v>807713.39</v>
      </c>
    </row>
    <row r="47" spans="1:10" ht="15">
      <c r="A47" s="13">
        <v>2</v>
      </c>
      <c r="B47" s="13"/>
      <c r="C47" s="13"/>
      <c r="D47" s="31"/>
      <c r="E47" s="31"/>
      <c r="F47" s="31"/>
      <c r="G47" s="31"/>
      <c r="H47" s="31"/>
      <c r="I47" s="31"/>
      <c r="J47" s="31"/>
    </row>
    <row r="48" spans="1:10" ht="18.75">
      <c r="A48" s="228" t="s">
        <v>223</v>
      </c>
      <c r="B48" s="228"/>
      <c r="C48" s="22" t="s">
        <v>77</v>
      </c>
      <c r="D48" s="39"/>
      <c r="E48" s="22" t="s">
        <v>77</v>
      </c>
      <c r="F48" s="22" t="s">
        <v>77</v>
      </c>
      <c r="G48" s="22" t="s">
        <v>77</v>
      </c>
      <c r="H48" s="22" t="s">
        <v>77</v>
      </c>
      <c r="I48" s="22" t="s">
        <v>77</v>
      </c>
      <c r="J48" s="39">
        <f>J46</f>
        <v>807713.39</v>
      </c>
    </row>
    <row r="49" ht="15.75">
      <c r="A49" s="7" t="s">
        <v>120</v>
      </c>
    </row>
    <row r="50" spans="1:10" ht="15.75">
      <c r="A50" s="227" t="s">
        <v>63</v>
      </c>
      <c r="B50" s="227"/>
      <c r="C50" s="227"/>
      <c r="D50" s="212" t="s">
        <v>373</v>
      </c>
      <c r="E50" s="212"/>
      <c r="F50" s="212"/>
      <c r="G50" s="212"/>
      <c r="H50" s="212"/>
      <c r="I50" s="212"/>
      <c r="J50" s="212"/>
    </row>
    <row r="51" spans="1:10" ht="15.75">
      <c r="A51" s="227" t="s">
        <v>64</v>
      </c>
      <c r="B51" s="227"/>
      <c r="C51" s="227"/>
      <c r="D51" s="212" t="s">
        <v>362</v>
      </c>
      <c r="E51" s="212"/>
      <c r="F51" s="212"/>
      <c r="G51" s="212"/>
      <c r="H51" s="212"/>
      <c r="I51" s="212"/>
      <c r="J51" s="212"/>
    </row>
    <row r="52" spans="1:10" ht="15">
      <c r="A52" s="13">
        <v>1</v>
      </c>
      <c r="B52" s="13" t="s">
        <v>374</v>
      </c>
      <c r="C52" s="13"/>
      <c r="D52" s="31"/>
      <c r="E52" s="31"/>
      <c r="F52" s="31"/>
      <c r="G52" s="31"/>
      <c r="H52" s="31"/>
      <c r="I52" s="31"/>
      <c r="J52" s="31">
        <v>135016.36</v>
      </c>
    </row>
    <row r="53" spans="1:10" ht="15">
      <c r="A53" s="13">
        <v>2</v>
      </c>
      <c r="B53" s="13"/>
      <c r="C53" s="13"/>
      <c r="D53" s="31"/>
      <c r="E53" s="31"/>
      <c r="F53" s="31"/>
      <c r="G53" s="31"/>
      <c r="H53" s="31"/>
      <c r="I53" s="31"/>
      <c r="J53" s="31">
        <v>16286.44</v>
      </c>
    </row>
    <row r="54" spans="1:10" ht="18.75">
      <c r="A54" s="228" t="s">
        <v>223</v>
      </c>
      <c r="B54" s="228"/>
      <c r="C54" s="22" t="s">
        <v>77</v>
      </c>
      <c r="D54" s="39"/>
      <c r="E54" s="22" t="s">
        <v>77</v>
      </c>
      <c r="F54" s="22" t="s">
        <v>77</v>
      </c>
      <c r="G54" s="22" t="s">
        <v>77</v>
      </c>
      <c r="H54" s="22" t="s">
        <v>77</v>
      </c>
      <c r="I54" s="22" t="s">
        <v>77</v>
      </c>
      <c r="J54" s="39">
        <f>J52</f>
        <v>135016.36</v>
      </c>
    </row>
    <row r="55" ht="15.75">
      <c r="A55" s="7" t="s">
        <v>120</v>
      </c>
    </row>
    <row r="56" spans="1:10" ht="15.75">
      <c r="A56" s="227" t="s">
        <v>63</v>
      </c>
      <c r="B56" s="227"/>
      <c r="C56" s="227"/>
      <c r="D56" s="212" t="s">
        <v>487</v>
      </c>
      <c r="E56" s="212"/>
      <c r="F56" s="212"/>
      <c r="G56" s="212"/>
      <c r="H56" s="212"/>
      <c r="I56" s="212"/>
      <c r="J56" s="212"/>
    </row>
    <row r="57" spans="1:10" ht="15.75">
      <c r="A57" s="227" t="s">
        <v>64</v>
      </c>
      <c r="B57" s="227"/>
      <c r="C57" s="227"/>
      <c r="D57" s="212" t="s">
        <v>488</v>
      </c>
      <c r="E57" s="212"/>
      <c r="F57" s="212"/>
      <c r="G57" s="212"/>
      <c r="H57" s="212"/>
      <c r="I57" s="212"/>
      <c r="J57" s="212"/>
    </row>
    <row r="58" spans="1:10" ht="15">
      <c r="A58" s="13">
        <v>1</v>
      </c>
      <c r="B58" s="13" t="s">
        <v>489</v>
      </c>
      <c r="C58" s="13"/>
      <c r="D58" s="31"/>
      <c r="E58" s="31"/>
      <c r="F58" s="31"/>
      <c r="G58" s="31"/>
      <c r="H58" s="31"/>
      <c r="I58" s="31"/>
      <c r="J58" s="31">
        <v>12487.24</v>
      </c>
    </row>
    <row r="59" spans="1:10" ht="15">
      <c r="A59" s="13">
        <v>2</v>
      </c>
      <c r="B59" s="13"/>
      <c r="C59" s="13"/>
      <c r="D59" s="31"/>
      <c r="E59" s="31"/>
      <c r="F59" s="31"/>
      <c r="G59" s="31"/>
      <c r="H59" s="31"/>
      <c r="I59" s="31"/>
      <c r="J59" s="31"/>
    </row>
    <row r="60" spans="1:10" ht="18.75">
      <c r="A60" s="228" t="s">
        <v>223</v>
      </c>
      <c r="B60" s="228"/>
      <c r="C60" s="22" t="s">
        <v>77</v>
      </c>
      <c r="D60" s="39"/>
      <c r="E60" s="22" t="s">
        <v>77</v>
      </c>
      <c r="F60" s="22" t="s">
        <v>77</v>
      </c>
      <c r="G60" s="22" t="s">
        <v>77</v>
      </c>
      <c r="H60" s="22" t="s">
        <v>77</v>
      </c>
      <c r="I60" s="22" t="s">
        <v>77</v>
      </c>
      <c r="J60" s="39">
        <f>J58</f>
        <v>12487.24</v>
      </c>
    </row>
  </sheetData>
  <sheetProtection/>
  <mergeCells count="37">
    <mergeCell ref="A51:C51"/>
    <mergeCell ref="D51:J51"/>
    <mergeCell ref="A54:B54"/>
    <mergeCell ref="A32:B32"/>
    <mergeCell ref="A44:C44"/>
    <mergeCell ref="D44:J44"/>
    <mergeCell ref="A45:C45"/>
    <mergeCell ref="A39:C39"/>
    <mergeCell ref="A48:B48"/>
    <mergeCell ref="A36:B36"/>
    <mergeCell ref="D50:J50"/>
    <mergeCell ref="B8:B10"/>
    <mergeCell ref="C8:C10"/>
    <mergeCell ref="D8:G8"/>
    <mergeCell ref="H8:H10"/>
    <mergeCell ref="I8:I10"/>
    <mergeCell ref="D39:J39"/>
    <mergeCell ref="A42:B42"/>
    <mergeCell ref="E9:G9"/>
    <mergeCell ref="A2:J2"/>
    <mergeCell ref="A5:C5"/>
    <mergeCell ref="D5:J5"/>
    <mergeCell ref="A6:C6"/>
    <mergeCell ref="D6:J6"/>
    <mergeCell ref="A8:A10"/>
    <mergeCell ref="J8:J10"/>
    <mergeCell ref="D9:D10"/>
    <mergeCell ref="A57:C57"/>
    <mergeCell ref="D57:J57"/>
    <mergeCell ref="A60:B60"/>
    <mergeCell ref="A18:B18"/>
    <mergeCell ref="D45:J45"/>
    <mergeCell ref="A38:C38"/>
    <mergeCell ref="D38:J38"/>
    <mergeCell ref="A56:C56"/>
    <mergeCell ref="D56:J56"/>
    <mergeCell ref="A50:C50"/>
  </mergeCells>
  <printOptions/>
  <pageMargins left="0.7086614173228347" right="0.1968503937007874" top="0.35433070866141736" bottom="0.2755905511811024" header="0.31496062992125984" footer="0.31496062992125984"/>
  <pageSetup fitToHeight="3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57421875" style="15" customWidth="1"/>
    <col min="2" max="2" width="17.8515625" style="15" customWidth="1"/>
    <col min="3" max="3" width="9.140625" style="15" customWidth="1"/>
    <col min="4" max="4" width="13.00390625" style="15" customWidth="1"/>
    <col min="5" max="5" width="14.57421875" style="15" customWidth="1"/>
    <col min="6" max="6" width="15.00390625" style="15" customWidth="1"/>
    <col min="7" max="7" width="14.7109375" style="15" customWidth="1"/>
    <col min="8" max="8" width="9.8515625" style="15" customWidth="1"/>
    <col min="9" max="9" width="8.421875" style="15" customWidth="1"/>
    <col min="10" max="10" width="12.00390625" style="15" customWidth="1"/>
    <col min="11" max="11" width="12.7109375" style="15" bestFit="1" customWidth="1"/>
    <col min="12" max="16384" width="9.140625" style="15" customWidth="1"/>
  </cols>
  <sheetData>
    <row r="1" ht="15.75">
      <c r="A1" s="5"/>
    </row>
    <row r="2" spans="1:10" ht="45.75" customHeight="1">
      <c r="A2" s="208" t="s">
        <v>287</v>
      </c>
      <c r="B2" s="208"/>
      <c r="C2" s="208"/>
      <c r="D2" s="208"/>
      <c r="E2" s="208"/>
      <c r="F2" s="208"/>
      <c r="G2" s="208"/>
      <c r="H2" s="208"/>
      <c r="I2" s="208"/>
      <c r="J2" s="208"/>
    </row>
    <row r="3" ht="15.75">
      <c r="A3" s="82"/>
    </row>
    <row r="4" ht="15.75">
      <c r="A4" s="7" t="s">
        <v>120</v>
      </c>
    </row>
    <row r="5" spans="1:10" ht="41.25" customHeight="1">
      <c r="A5" s="227" t="s">
        <v>63</v>
      </c>
      <c r="B5" s="227"/>
      <c r="C5" s="227"/>
      <c r="D5" s="212" t="s">
        <v>248</v>
      </c>
      <c r="E5" s="212"/>
      <c r="F5" s="212"/>
      <c r="G5" s="212"/>
      <c r="H5" s="212"/>
      <c r="I5" s="212"/>
      <c r="J5" s="212"/>
    </row>
    <row r="6" spans="1:10" ht="38.25" customHeight="1">
      <c r="A6" s="227" t="s">
        <v>64</v>
      </c>
      <c r="B6" s="227"/>
      <c r="C6" s="227"/>
      <c r="D6" s="212" t="s">
        <v>247</v>
      </c>
      <c r="E6" s="212"/>
      <c r="F6" s="212"/>
      <c r="G6" s="212"/>
      <c r="H6" s="212"/>
      <c r="I6" s="212"/>
      <c r="J6" s="212"/>
    </row>
    <row r="7" ht="15.75">
      <c r="A7" s="2" t="s">
        <v>65</v>
      </c>
    </row>
    <row r="8" spans="1:10" ht="31.5" customHeight="1">
      <c r="A8" s="212" t="s">
        <v>66</v>
      </c>
      <c r="B8" s="212" t="s">
        <v>67</v>
      </c>
      <c r="C8" s="212" t="s">
        <v>68</v>
      </c>
      <c r="D8" s="212" t="s">
        <v>69</v>
      </c>
      <c r="E8" s="212"/>
      <c r="F8" s="212"/>
      <c r="G8" s="212"/>
      <c r="H8" s="212" t="s">
        <v>70</v>
      </c>
      <c r="I8" s="212" t="s">
        <v>71</v>
      </c>
      <c r="J8" s="212" t="s">
        <v>72</v>
      </c>
    </row>
    <row r="9" spans="1:10" ht="15.75">
      <c r="A9" s="212"/>
      <c r="B9" s="212"/>
      <c r="C9" s="212"/>
      <c r="D9" s="212" t="s">
        <v>5</v>
      </c>
      <c r="E9" s="212" t="s">
        <v>6</v>
      </c>
      <c r="F9" s="212"/>
      <c r="G9" s="212"/>
      <c r="H9" s="212"/>
      <c r="I9" s="212"/>
      <c r="J9" s="212"/>
    </row>
    <row r="10" spans="1:10" ht="96.75" customHeight="1">
      <c r="A10" s="212"/>
      <c r="B10" s="212"/>
      <c r="C10" s="212"/>
      <c r="D10" s="212"/>
      <c r="E10" s="83" t="s">
        <v>73</v>
      </c>
      <c r="F10" s="83" t="s">
        <v>74</v>
      </c>
      <c r="G10" s="83" t="s">
        <v>75</v>
      </c>
      <c r="H10" s="212"/>
      <c r="I10" s="212"/>
      <c r="J10" s="212"/>
    </row>
    <row r="11" spans="1:10" s="41" customFormat="1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1" ht="15">
      <c r="A12" s="13"/>
      <c r="B12" s="13"/>
      <c r="C12" s="13"/>
      <c r="D12" s="31"/>
      <c r="E12" s="31"/>
      <c r="F12" s="31"/>
      <c r="G12" s="31"/>
      <c r="H12" s="31"/>
      <c r="I12" s="31"/>
      <c r="J12" s="31"/>
      <c r="K12" s="75"/>
    </row>
    <row r="13" spans="1:11" ht="15">
      <c r="A13" s="13"/>
      <c r="B13" s="13"/>
      <c r="C13" s="13"/>
      <c r="D13" s="31"/>
      <c r="E13" s="31"/>
      <c r="F13" s="31"/>
      <c r="G13" s="31"/>
      <c r="H13" s="31"/>
      <c r="I13" s="31"/>
      <c r="J13" s="31"/>
      <c r="K13" s="75"/>
    </row>
    <row r="14" spans="1:11" ht="15">
      <c r="A14" s="13"/>
      <c r="B14" s="13"/>
      <c r="C14" s="13"/>
      <c r="D14" s="31"/>
      <c r="E14" s="31"/>
      <c r="F14" s="31"/>
      <c r="G14" s="31"/>
      <c r="H14" s="31"/>
      <c r="I14" s="31"/>
      <c r="J14" s="31"/>
      <c r="K14" s="75"/>
    </row>
    <row r="15" spans="1:11" ht="18.75">
      <c r="A15" s="228" t="s">
        <v>223</v>
      </c>
      <c r="B15" s="228"/>
      <c r="C15" s="22" t="s">
        <v>77</v>
      </c>
      <c r="D15" s="39">
        <f>SUM(D12:D14)</f>
        <v>0</v>
      </c>
      <c r="E15" s="22" t="s">
        <v>77</v>
      </c>
      <c r="F15" s="22" t="s">
        <v>77</v>
      </c>
      <c r="G15" s="22" t="s">
        <v>77</v>
      </c>
      <c r="H15" s="22" t="s">
        <v>77</v>
      </c>
      <c r="I15" s="22" t="s">
        <v>77</v>
      </c>
      <c r="J15" s="39">
        <f>SUM(J12:J14)</f>
        <v>0</v>
      </c>
      <c r="K15" s="78"/>
    </row>
    <row r="16" spans="1:11" ht="38.25">
      <c r="A16" s="13">
        <v>1</v>
      </c>
      <c r="B16" s="13" t="s">
        <v>271</v>
      </c>
      <c r="C16" s="13">
        <v>2</v>
      </c>
      <c r="D16" s="31">
        <v>1190.6879</v>
      </c>
      <c r="E16" s="31"/>
      <c r="F16" s="31"/>
      <c r="G16" s="31"/>
      <c r="H16" s="31">
        <f>D16*80%</f>
        <v>952.5503199999999</v>
      </c>
      <c r="I16" s="31">
        <f>D16*70%</f>
        <v>833.4815299999999</v>
      </c>
      <c r="J16" s="174">
        <f>(D16+H16+I16)*C16*12</f>
        <v>71441.27399999999</v>
      </c>
      <c r="K16" s="78"/>
    </row>
    <row r="17" spans="1:11" ht="15">
      <c r="A17" s="13">
        <v>2</v>
      </c>
      <c r="B17" s="13" t="s">
        <v>272</v>
      </c>
      <c r="C17" s="13">
        <v>1</v>
      </c>
      <c r="D17" s="31">
        <v>1190.69</v>
      </c>
      <c r="E17" s="31"/>
      <c r="F17" s="31"/>
      <c r="G17" s="31"/>
      <c r="H17" s="31">
        <f>D17*80%</f>
        <v>952.5520000000001</v>
      </c>
      <c r="I17" s="31">
        <f>D17*70%</f>
        <v>833.483</v>
      </c>
      <c r="J17" s="174">
        <f>(D17+H17+I17)*C17*12</f>
        <v>35720.700000000004</v>
      </c>
      <c r="K17" s="78"/>
    </row>
    <row r="18" spans="1:11" ht="15">
      <c r="A18" s="13"/>
      <c r="B18" s="13"/>
      <c r="C18" s="13"/>
      <c r="D18" s="31">
        <f>E18+F18+G18</f>
        <v>0</v>
      </c>
      <c r="E18" s="31"/>
      <c r="F18" s="31"/>
      <c r="G18" s="31"/>
      <c r="H18" s="31"/>
      <c r="I18" s="31"/>
      <c r="J18" s="31">
        <f>D18+H18+I18</f>
        <v>0</v>
      </c>
      <c r="K18" s="78"/>
    </row>
    <row r="19" spans="1:11" ht="18.75">
      <c r="A19" s="228" t="s">
        <v>224</v>
      </c>
      <c r="B19" s="228"/>
      <c r="C19" s="22" t="s">
        <v>77</v>
      </c>
      <c r="D19" s="39">
        <f>SUM(D16:D18)</f>
        <v>2381.3779</v>
      </c>
      <c r="E19" s="22" t="s">
        <v>77</v>
      </c>
      <c r="F19" s="22" t="s">
        <v>77</v>
      </c>
      <c r="G19" s="22" t="s">
        <v>77</v>
      </c>
      <c r="H19" s="22" t="s">
        <v>77</v>
      </c>
      <c r="I19" s="22" t="s">
        <v>77</v>
      </c>
      <c r="J19" s="39">
        <f>SUM(J16:J18)-4641.96</f>
        <v>102520.01399999998</v>
      </c>
      <c r="K19" s="78"/>
    </row>
    <row r="20" spans="1:11" ht="15" customHeight="1" hidden="1">
      <c r="A20" s="13"/>
      <c r="B20" s="13" t="s">
        <v>258</v>
      </c>
      <c r="C20" s="13">
        <v>1</v>
      </c>
      <c r="D20" s="31">
        <f>E20+F20+G20</f>
        <v>33333.33</v>
      </c>
      <c r="E20" s="31"/>
      <c r="F20" s="31"/>
      <c r="G20" s="31">
        <v>33333.33</v>
      </c>
      <c r="H20" s="31"/>
      <c r="I20" s="31"/>
      <c r="J20" s="31">
        <f aca="true" t="shared" si="0" ref="J20:J32">(D20+H20+I20)*C20*12</f>
        <v>399999.96</v>
      </c>
      <c r="K20" s="78"/>
    </row>
    <row r="21" spans="1:11" ht="25.5" customHeight="1" hidden="1">
      <c r="A21" s="13"/>
      <c r="B21" s="13" t="s">
        <v>259</v>
      </c>
      <c r="C21" s="13">
        <v>1</v>
      </c>
      <c r="D21" s="31">
        <f aca="true" t="shared" si="1" ref="D21:D32">E21+F21+G21</f>
        <v>29108.32</v>
      </c>
      <c r="E21" s="31"/>
      <c r="F21" s="31"/>
      <c r="G21" s="31">
        <v>29108.32</v>
      </c>
      <c r="H21" s="31"/>
      <c r="I21" s="31"/>
      <c r="J21" s="31">
        <f t="shared" si="0"/>
        <v>349299.83999999997</v>
      </c>
      <c r="K21" s="78"/>
    </row>
    <row r="22" spans="1:11" ht="25.5" customHeight="1" hidden="1">
      <c r="A22" s="13"/>
      <c r="B22" s="13" t="s">
        <v>260</v>
      </c>
      <c r="C22" s="13">
        <v>0.75</v>
      </c>
      <c r="D22" s="31">
        <f t="shared" si="1"/>
        <v>29108.32</v>
      </c>
      <c r="E22" s="31"/>
      <c r="F22" s="31"/>
      <c r="G22" s="31">
        <v>29108.32</v>
      </c>
      <c r="H22" s="31"/>
      <c r="I22" s="31"/>
      <c r="J22" s="31">
        <f t="shared" si="0"/>
        <v>261974.87999999998</v>
      </c>
      <c r="K22" s="78"/>
    </row>
    <row r="23" spans="1:11" ht="25.5" customHeight="1" hidden="1">
      <c r="A23" s="13"/>
      <c r="B23" s="13" t="s">
        <v>261</v>
      </c>
      <c r="C23" s="13">
        <v>0.5</v>
      </c>
      <c r="D23" s="31">
        <f t="shared" si="1"/>
        <v>29108.32</v>
      </c>
      <c r="E23" s="31"/>
      <c r="F23" s="31"/>
      <c r="G23" s="31">
        <v>29108.32</v>
      </c>
      <c r="H23" s="31"/>
      <c r="I23" s="31"/>
      <c r="J23" s="31">
        <f t="shared" si="0"/>
        <v>174649.91999999998</v>
      </c>
      <c r="K23" s="78"/>
    </row>
    <row r="24" spans="1:11" ht="25.5" customHeight="1" hidden="1">
      <c r="A24" s="13"/>
      <c r="B24" s="13" t="s">
        <v>262</v>
      </c>
      <c r="C24" s="13">
        <v>1</v>
      </c>
      <c r="D24" s="31">
        <f t="shared" si="1"/>
        <v>10129.06</v>
      </c>
      <c r="E24" s="31"/>
      <c r="F24" s="31"/>
      <c r="G24" s="31">
        <v>10129.06</v>
      </c>
      <c r="H24" s="31"/>
      <c r="I24" s="31"/>
      <c r="J24" s="31">
        <f t="shared" si="0"/>
        <v>121548.72</v>
      </c>
      <c r="K24" s="78"/>
    </row>
    <row r="25" spans="1:11" ht="15" customHeight="1" hidden="1">
      <c r="A25" s="13"/>
      <c r="B25" s="13" t="s">
        <v>263</v>
      </c>
      <c r="C25" s="13">
        <v>1</v>
      </c>
      <c r="D25" s="31">
        <f t="shared" si="1"/>
        <v>10129.06</v>
      </c>
      <c r="E25" s="31"/>
      <c r="F25" s="31"/>
      <c r="G25" s="31">
        <v>10129.06</v>
      </c>
      <c r="H25" s="31"/>
      <c r="I25" s="31"/>
      <c r="J25" s="31">
        <f t="shared" si="0"/>
        <v>121548.72</v>
      </c>
      <c r="K25" s="78"/>
    </row>
    <row r="26" spans="1:11" ht="15" customHeight="1" hidden="1">
      <c r="A26" s="13"/>
      <c r="B26" s="13" t="s">
        <v>264</v>
      </c>
      <c r="C26" s="13">
        <v>0.5</v>
      </c>
      <c r="D26" s="31">
        <f t="shared" si="1"/>
        <v>10129.06</v>
      </c>
      <c r="E26" s="31"/>
      <c r="F26" s="31"/>
      <c r="G26" s="31">
        <v>10129.06</v>
      </c>
      <c r="H26" s="31"/>
      <c r="I26" s="31"/>
      <c r="J26" s="31">
        <f t="shared" si="0"/>
        <v>60774.36</v>
      </c>
      <c r="K26" s="78"/>
    </row>
    <row r="27" spans="1:11" ht="25.5" customHeight="1" hidden="1">
      <c r="A27" s="13"/>
      <c r="B27" s="13" t="s">
        <v>265</v>
      </c>
      <c r="C27" s="13">
        <v>1</v>
      </c>
      <c r="D27" s="31">
        <f t="shared" si="1"/>
        <v>10129.06</v>
      </c>
      <c r="E27" s="31"/>
      <c r="F27" s="31"/>
      <c r="G27" s="31">
        <v>10129.06</v>
      </c>
      <c r="H27" s="31"/>
      <c r="I27" s="31"/>
      <c r="J27" s="31">
        <f t="shared" si="0"/>
        <v>121548.72</v>
      </c>
      <c r="K27" s="78"/>
    </row>
    <row r="28" spans="1:11" ht="15" customHeight="1" hidden="1">
      <c r="A28" s="13"/>
      <c r="B28" s="13" t="s">
        <v>266</v>
      </c>
      <c r="C28" s="13">
        <v>3</v>
      </c>
      <c r="D28" s="31">
        <f t="shared" si="1"/>
        <v>10129.06</v>
      </c>
      <c r="E28" s="31"/>
      <c r="F28" s="31"/>
      <c r="G28" s="31">
        <v>10129.06</v>
      </c>
      <c r="H28" s="31"/>
      <c r="I28" s="31"/>
      <c r="J28" s="31">
        <f t="shared" si="0"/>
        <v>364646.16000000003</v>
      </c>
      <c r="K28" s="78"/>
    </row>
    <row r="29" spans="1:11" ht="15" customHeight="1" hidden="1">
      <c r="A29" s="13"/>
      <c r="B29" s="13" t="s">
        <v>267</v>
      </c>
      <c r="C29" s="13">
        <v>34</v>
      </c>
      <c r="D29" s="31">
        <f t="shared" si="1"/>
        <v>10129.06</v>
      </c>
      <c r="E29" s="31"/>
      <c r="F29" s="31"/>
      <c r="G29" s="31">
        <f>10129.06</f>
        <v>10129.06</v>
      </c>
      <c r="H29" s="31"/>
      <c r="I29" s="31"/>
      <c r="J29" s="31">
        <f>(D29+H29+I29)*C29*12</f>
        <v>4132656.4799999995</v>
      </c>
      <c r="K29" s="78"/>
    </row>
    <row r="30" spans="1:11" ht="15" customHeight="1" hidden="1">
      <c r="A30" s="13"/>
      <c r="B30" s="13" t="s">
        <v>268</v>
      </c>
      <c r="C30" s="13">
        <v>1</v>
      </c>
      <c r="D30" s="31">
        <f t="shared" si="1"/>
        <v>11081.86</v>
      </c>
      <c r="E30" s="31"/>
      <c r="F30" s="31"/>
      <c r="G30" s="31">
        <v>11081.86</v>
      </c>
      <c r="H30" s="31"/>
      <c r="I30" s="31"/>
      <c r="J30" s="31">
        <f t="shared" si="0"/>
        <v>132982.32</v>
      </c>
      <c r="K30" s="78"/>
    </row>
    <row r="31" spans="1:11" ht="15" customHeight="1" hidden="1">
      <c r="A31" s="13"/>
      <c r="B31" s="13" t="s">
        <v>269</v>
      </c>
      <c r="C31" s="13">
        <v>1</v>
      </c>
      <c r="D31" s="31">
        <f t="shared" si="1"/>
        <v>11081.86</v>
      </c>
      <c r="E31" s="31"/>
      <c r="F31" s="31"/>
      <c r="G31" s="31">
        <v>11081.86</v>
      </c>
      <c r="H31" s="31"/>
      <c r="I31" s="31"/>
      <c r="J31" s="31">
        <f t="shared" si="0"/>
        <v>132982.32</v>
      </c>
      <c r="K31" s="78"/>
    </row>
    <row r="32" spans="1:11" ht="25.5" customHeight="1" hidden="1">
      <c r="A32" s="13"/>
      <c r="B32" s="13" t="s">
        <v>270</v>
      </c>
      <c r="C32" s="13">
        <v>1</v>
      </c>
      <c r="D32" s="31">
        <f t="shared" si="1"/>
        <v>11081.86</v>
      </c>
      <c r="E32" s="31"/>
      <c r="F32" s="31"/>
      <c r="G32" s="31">
        <v>11081.86</v>
      </c>
      <c r="H32" s="31"/>
      <c r="I32" s="31"/>
      <c r="J32" s="31">
        <f t="shared" si="0"/>
        <v>132982.32</v>
      </c>
      <c r="K32" s="78"/>
    </row>
    <row r="33" spans="1:11" ht="18.75" customHeight="1" hidden="1">
      <c r="A33" s="228" t="s">
        <v>227</v>
      </c>
      <c r="B33" s="228"/>
      <c r="C33" s="22" t="s">
        <v>77</v>
      </c>
      <c r="D33" s="38"/>
      <c r="E33" s="22" t="s">
        <v>77</v>
      </c>
      <c r="F33" s="22" t="s">
        <v>77</v>
      </c>
      <c r="G33" s="22" t="s">
        <v>77</v>
      </c>
      <c r="H33" s="22" t="s">
        <v>77</v>
      </c>
      <c r="I33" s="22" t="s">
        <v>77</v>
      </c>
      <c r="J33" s="39">
        <f>SUM(J20:J32)</f>
        <v>6507594.720000001</v>
      </c>
      <c r="K33" s="78" t="s">
        <v>273</v>
      </c>
    </row>
    <row r="34" ht="15">
      <c r="J34" s="75" t="s">
        <v>273</v>
      </c>
    </row>
    <row r="35" ht="15">
      <c r="J35" s="75" t="s">
        <v>273</v>
      </c>
    </row>
    <row r="38" ht="15">
      <c r="K38" s="78"/>
    </row>
  </sheetData>
  <sheetProtection/>
  <mergeCells count="17">
    <mergeCell ref="A33:B33"/>
    <mergeCell ref="I8:I10"/>
    <mergeCell ref="J8:J10"/>
    <mergeCell ref="D9:D10"/>
    <mergeCell ref="E9:G9"/>
    <mergeCell ref="A15:B15"/>
    <mergeCell ref="A19:B19"/>
    <mergeCell ref="A2:J2"/>
    <mergeCell ref="A5:C5"/>
    <mergeCell ref="D5:J5"/>
    <mergeCell ref="A6:C6"/>
    <mergeCell ref="D6:J6"/>
    <mergeCell ref="A8:A10"/>
    <mergeCell ref="B8:B10"/>
    <mergeCell ref="C8:C10"/>
    <mergeCell ref="D8:G8"/>
    <mergeCell ref="H8:H10"/>
  </mergeCells>
  <printOptions/>
  <pageMargins left="0.7086614173228347" right="0.1968503937007874" top="0.35433070866141736" bottom="0.2755905511811024" header="0.31496062992125984" footer="0.31496062992125984"/>
  <pageSetup fitToHeight="3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6.140625" style="15" customWidth="1"/>
    <col min="2" max="2" width="32.421875" style="15" customWidth="1"/>
    <col min="3" max="3" width="19.28125" style="15" customWidth="1"/>
    <col min="4" max="4" width="16.140625" style="15" customWidth="1"/>
    <col min="5" max="5" width="12.421875" style="15" customWidth="1"/>
    <col min="6" max="6" width="17.7109375" style="15" customWidth="1"/>
    <col min="7" max="16384" width="9.140625" style="15" customWidth="1"/>
  </cols>
  <sheetData>
    <row r="2" spans="1:6" ht="15.75">
      <c r="A2" s="229" t="s">
        <v>119</v>
      </c>
      <c r="B2" s="229"/>
      <c r="C2" s="229"/>
      <c r="D2" s="229"/>
      <c r="E2" s="229"/>
      <c r="F2" s="229"/>
    </row>
    <row r="3" spans="1:6" ht="41.25" customHeight="1">
      <c r="A3" s="227" t="s">
        <v>63</v>
      </c>
      <c r="B3" s="231"/>
      <c r="C3" s="212" t="s">
        <v>413</v>
      </c>
      <c r="D3" s="212"/>
      <c r="E3" s="212"/>
      <c r="F3" s="212"/>
    </row>
    <row r="4" spans="1:6" ht="38.25" customHeight="1">
      <c r="A4" s="227" t="s">
        <v>64</v>
      </c>
      <c r="B4" s="231"/>
      <c r="C4" s="212" t="s">
        <v>275</v>
      </c>
      <c r="D4" s="212"/>
      <c r="E4" s="212"/>
      <c r="F4" s="212"/>
    </row>
    <row r="5" spans="1:6" ht="37.5" customHeight="1">
      <c r="A5" s="230" t="s">
        <v>78</v>
      </c>
      <c r="B5" s="230"/>
      <c r="C5" s="230"/>
      <c r="D5" s="230"/>
      <c r="E5" s="230"/>
      <c r="F5" s="230"/>
    </row>
    <row r="6" spans="1:6" ht="102.75" customHeight="1">
      <c r="A6" s="10" t="s">
        <v>66</v>
      </c>
      <c r="B6" s="10" t="s">
        <v>79</v>
      </c>
      <c r="C6" s="10" t="s">
        <v>80</v>
      </c>
      <c r="D6" s="10" t="s">
        <v>81</v>
      </c>
      <c r="E6" s="10" t="s">
        <v>82</v>
      </c>
      <c r="F6" s="10" t="s">
        <v>83</v>
      </c>
    </row>
    <row r="7" spans="1:6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81" customHeight="1">
      <c r="A8" s="10">
        <v>1</v>
      </c>
      <c r="B8" s="3" t="s">
        <v>84</v>
      </c>
      <c r="C8" s="10" t="s">
        <v>77</v>
      </c>
      <c r="D8" s="10" t="s">
        <v>77</v>
      </c>
      <c r="E8" s="10" t="s">
        <v>77</v>
      </c>
      <c r="F8" s="13"/>
    </row>
    <row r="9" spans="1:6" ht="15.75">
      <c r="A9" s="14"/>
      <c r="B9" s="3" t="s">
        <v>6</v>
      </c>
      <c r="C9" s="13"/>
      <c r="D9" s="13"/>
      <c r="E9" s="13"/>
      <c r="F9" s="13"/>
    </row>
    <row r="10" spans="1:6" ht="84.75" customHeight="1">
      <c r="A10" s="10" t="s">
        <v>85</v>
      </c>
      <c r="B10" s="3" t="s">
        <v>86</v>
      </c>
      <c r="C10" s="13">
        <v>300</v>
      </c>
      <c r="D10" s="13">
        <v>7</v>
      </c>
      <c r="E10" s="13">
        <v>14</v>
      </c>
      <c r="F10" s="31">
        <v>80000</v>
      </c>
    </row>
    <row r="11" spans="1:6" ht="54.75" customHeight="1">
      <c r="A11" s="10" t="s">
        <v>87</v>
      </c>
      <c r="B11" s="3" t="s">
        <v>88</v>
      </c>
      <c r="C11" s="50">
        <v>357.14289</v>
      </c>
      <c r="D11" s="13">
        <v>10</v>
      </c>
      <c r="E11" s="13">
        <v>14</v>
      </c>
      <c r="F11" s="31">
        <f>C11*D11*E11</f>
        <v>50000.00460000001</v>
      </c>
    </row>
    <row r="12" spans="1:6" ht="44.25" customHeight="1">
      <c r="A12" s="10" t="s">
        <v>89</v>
      </c>
      <c r="B12" s="3" t="s">
        <v>90</v>
      </c>
      <c r="C12" s="13">
        <v>500</v>
      </c>
      <c r="D12" s="13">
        <v>7</v>
      </c>
      <c r="E12" s="13">
        <v>10</v>
      </c>
      <c r="F12" s="31">
        <f>C12*D12*E12</f>
        <v>35000</v>
      </c>
    </row>
    <row r="13" spans="1:6" ht="15">
      <c r="A13" s="14"/>
      <c r="B13" s="14"/>
      <c r="C13" s="13"/>
      <c r="D13" s="13"/>
      <c r="E13" s="13"/>
      <c r="F13" s="13"/>
    </row>
    <row r="14" spans="1:6" ht="15">
      <c r="A14" s="14"/>
      <c r="B14" s="14"/>
      <c r="C14" s="13"/>
      <c r="D14" s="13"/>
      <c r="E14" s="13"/>
      <c r="F14" s="13"/>
    </row>
    <row r="15" spans="1:6" ht="72" customHeight="1">
      <c r="A15" s="10">
        <v>2</v>
      </c>
      <c r="B15" s="3" t="s">
        <v>91</v>
      </c>
      <c r="C15" s="10" t="s">
        <v>77</v>
      </c>
      <c r="D15" s="10" t="s">
        <v>77</v>
      </c>
      <c r="E15" s="10" t="s">
        <v>77</v>
      </c>
      <c r="F15" s="13"/>
    </row>
    <row r="16" spans="1:6" ht="15.75">
      <c r="A16" s="14"/>
      <c r="B16" s="3" t="s">
        <v>6</v>
      </c>
      <c r="C16" s="13"/>
      <c r="D16" s="13"/>
      <c r="E16" s="13"/>
      <c r="F16" s="13"/>
    </row>
    <row r="17" spans="1:6" ht="89.25" customHeight="1">
      <c r="A17" s="10" t="s">
        <v>92</v>
      </c>
      <c r="B17" s="3" t="s">
        <v>86</v>
      </c>
      <c r="C17" s="13"/>
      <c r="D17" s="13"/>
      <c r="E17" s="13"/>
      <c r="F17" s="13"/>
    </row>
    <row r="18" spans="1:6" ht="51" customHeight="1">
      <c r="A18" s="10" t="s">
        <v>93</v>
      </c>
      <c r="B18" s="3" t="s">
        <v>88</v>
      </c>
      <c r="C18" s="13"/>
      <c r="D18" s="13"/>
      <c r="E18" s="13"/>
      <c r="F18" s="13"/>
    </row>
    <row r="19" spans="1:6" ht="39.75" customHeight="1">
      <c r="A19" s="10" t="s">
        <v>94</v>
      </c>
      <c r="B19" s="3" t="s">
        <v>90</v>
      </c>
      <c r="C19" s="13"/>
      <c r="D19" s="13"/>
      <c r="E19" s="13"/>
      <c r="F19" s="13"/>
    </row>
    <row r="20" spans="1:6" ht="15">
      <c r="A20" s="14"/>
      <c r="B20" s="14"/>
      <c r="C20" s="13"/>
      <c r="D20" s="13"/>
      <c r="E20" s="13"/>
      <c r="F20" s="13"/>
    </row>
    <row r="21" spans="1:6" ht="15">
      <c r="A21" s="14"/>
      <c r="B21" s="14"/>
      <c r="C21" s="13"/>
      <c r="D21" s="13"/>
      <c r="E21" s="13"/>
      <c r="F21" s="13"/>
    </row>
    <row r="22" spans="1:6" ht="15.75">
      <c r="A22" s="14"/>
      <c r="B22" s="3" t="s">
        <v>76</v>
      </c>
      <c r="C22" s="10" t="s">
        <v>77</v>
      </c>
      <c r="D22" s="10" t="s">
        <v>77</v>
      </c>
      <c r="E22" s="10" t="s">
        <v>77</v>
      </c>
      <c r="F22" s="31">
        <f>F10+F11+F12</f>
        <v>165000.00460000001</v>
      </c>
    </row>
    <row r="23" ht="15.75">
      <c r="A23" s="2"/>
    </row>
  </sheetData>
  <sheetProtection/>
  <mergeCells count="6">
    <mergeCell ref="A2:F2"/>
    <mergeCell ref="A5:F5"/>
    <mergeCell ref="A3:B3"/>
    <mergeCell ref="A4:B4"/>
    <mergeCell ref="C3:F3"/>
    <mergeCell ref="C4:F4"/>
  </mergeCells>
  <printOptions/>
  <pageMargins left="0.7" right="0.7" top="0.32" bottom="0.31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6.00390625" style="15" customWidth="1"/>
    <col min="2" max="2" width="12.7109375" style="15" customWidth="1"/>
    <col min="3" max="3" width="13.421875" style="15" customWidth="1"/>
    <col min="4" max="4" width="13.140625" style="15" customWidth="1"/>
    <col min="5" max="5" width="12.421875" style="15" customWidth="1"/>
    <col min="6" max="6" width="17.57421875" style="15" customWidth="1"/>
    <col min="7" max="16384" width="9.140625" style="15" customWidth="1"/>
  </cols>
  <sheetData>
    <row r="2" ht="15.75">
      <c r="A2" s="7" t="s">
        <v>120</v>
      </c>
    </row>
    <row r="3" spans="1:9" ht="60" customHeight="1">
      <c r="A3" s="232" t="s">
        <v>63</v>
      </c>
      <c r="B3" s="233"/>
      <c r="C3" s="212" t="s">
        <v>414</v>
      </c>
      <c r="D3" s="212"/>
      <c r="E3" s="212"/>
      <c r="F3" s="212"/>
      <c r="G3" s="79"/>
      <c r="H3" s="79"/>
      <c r="I3" s="79"/>
    </row>
    <row r="4" spans="1:6" ht="53.25" customHeight="1">
      <c r="A4" s="232" t="s">
        <v>64</v>
      </c>
      <c r="B4" s="233"/>
      <c r="C4" s="234" t="s">
        <v>276</v>
      </c>
      <c r="D4" s="234"/>
      <c r="E4" s="234"/>
      <c r="F4" s="234"/>
    </row>
    <row r="5" ht="24.75" customHeight="1">
      <c r="A5" s="2" t="s">
        <v>95</v>
      </c>
    </row>
    <row r="6" spans="1:6" ht="78.75">
      <c r="A6" s="49" t="s">
        <v>66</v>
      </c>
      <c r="B6" s="49" t="s">
        <v>79</v>
      </c>
      <c r="C6" s="49" t="s">
        <v>96</v>
      </c>
      <c r="D6" s="49" t="s">
        <v>97</v>
      </c>
      <c r="E6" s="49" t="s">
        <v>98</v>
      </c>
      <c r="F6" s="49" t="s">
        <v>83</v>
      </c>
    </row>
    <row r="7" spans="1:6" ht="15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</row>
    <row r="8" spans="1:6" ht="47.25">
      <c r="A8" s="49">
        <v>1</v>
      </c>
      <c r="B8" s="3" t="s">
        <v>99</v>
      </c>
      <c r="C8" s="13">
        <v>1</v>
      </c>
      <c r="D8" s="13">
        <v>10</v>
      </c>
      <c r="E8" s="13">
        <v>16083.38</v>
      </c>
      <c r="F8" s="31">
        <f>C8*D8*E8</f>
        <v>160833.8</v>
      </c>
    </row>
    <row r="9" spans="1:6" ht="15">
      <c r="A9" s="13"/>
      <c r="B9" s="14"/>
      <c r="C9" s="13"/>
      <c r="D9" s="13"/>
      <c r="E9" s="13"/>
      <c r="F9" s="13"/>
    </row>
    <row r="10" spans="1:6" ht="15">
      <c r="A10" s="13"/>
      <c r="B10" s="14"/>
      <c r="C10" s="13"/>
      <c r="D10" s="13"/>
      <c r="E10" s="13"/>
      <c r="F10" s="13"/>
    </row>
    <row r="11" spans="1:6" ht="15.75">
      <c r="A11" s="13"/>
      <c r="B11" s="3" t="s">
        <v>76</v>
      </c>
      <c r="C11" s="49" t="s">
        <v>77</v>
      </c>
      <c r="D11" s="49" t="s">
        <v>77</v>
      </c>
      <c r="E11" s="49" t="s">
        <v>77</v>
      </c>
      <c r="F11" s="31">
        <f>F8</f>
        <v>160833.8</v>
      </c>
    </row>
  </sheetData>
  <sheetProtection/>
  <mergeCells count="4">
    <mergeCell ref="A3:B3"/>
    <mergeCell ref="A4:B4"/>
    <mergeCell ref="C3:F3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2019-02-27T08:28:24Z</dcterms:modified>
  <cp:category/>
  <cp:version/>
  <cp:contentType/>
  <cp:contentStatus/>
</cp:coreProperties>
</file>